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D\Desktop\序号6-餐厅装修工程发标资料夹20220616发0623收标 超100万-1\科达广隆食堂餐厅装修工程量清单图纸发标用夹20220713晚\"/>
    </mc:Choice>
  </mc:AlternateContent>
  <bookViews>
    <workbookView xWindow="0" yWindow="0" windowWidth="28125" windowHeight="12540" activeTab="1"/>
  </bookViews>
  <sheets>
    <sheet name="汇总表" sheetId="7" r:id="rId1"/>
    <sheet name="1-科达学院餐厅装修" sheetId="1" r:id="rId2"/>
    <sheet name="2-科达学院餐厅机电" sheetId="2" r:id="rId3"/>
    <sheet name="3-公寓楼餐厅装修" sheetId="6" r:id="rId4"/>
    <sheet name="4-公寓楼餐厅机电" sheetId="5" r:id="rId5"/>
    <sheet name="图纸清单补充说明" sheetId="8" r:id="rId6"/>
    <sheet name="工程范围划分说明" sheetId="9" r:id="rId7"/>
  </sheets>
  <definedNames>
    <definedName name="_xlnm._FilterDatabase" localSheetId="1" hidden="1">'1-科达学院餐厅装修'!$A$2:$I$47</definedName>
    <definedName name="_xlnm._FilterDatabase" localSheetId="3" hidden="1">'3-公寓楼餐厅装修'!$A$2:$I$61</definedName>
  </definedNames>
  <calcPr calcId="162913"/>
</workbook>
</file>

<file path=xl/calcChain.xml><?xml version="1.0" encoding="utf-8"?>
<calcChain xmlns="http://schemas.openxmlformats.org/spreadsheetml/2006/main">
  <c r="E21" i="6" l="1"/>
  <c r="E13" i="1"/>
  <c r="E45" i="5" l="1"/>
  <c r="E44" i="5"/>
  <c r="E43" i="5"/>
  <c r="E42" i="5"/>
  <c r="E41" i="5"/>
  <c r="E40" i="5"/>
  <c r="E39" i="5"/>
  <c r="E38" i="5"/>
  <c r="E37" i="5"/>
  <c r="E36" i="5"/>
  <c r="E35" i="5"/>
  <c r="E34" i="5"/>
  <c r="E24" i="5"/>
  <c r="E22" i="5"/>
  <c r="E17" i="5"/>
  <c r="E16" i="5"/>
  <c r="E14" i="5"/>
  <c r="E13" i="5"/>
  <c r="E60" i="6"/>
  <c r="E59" i="6"/>
  <c r="E58" i="6"/>
  <c r="E57" i="6"/>
  <c r="E56" i="6"/>
  <c r="E54" i="6"/>
  <c r="E53" i="6"/>
  <c r="E48" i="6"/>
  <c r="E47" i="6"/>
  <c r="E46" i="6"/>
  <c r="E44" i="6"/>
  <c r="E43" i="6"/>
  <c r="E42" i="6"/>
  <c r="E40" i="6"/>
  <c r="E39" i="6"/>
  <c r="E38" i="6"/>
  <c r="E37" i="6"/>
  <c r="E36" i="6"/>
  <c r="E35" i="6"/>
  <c r="E34" i="6"/>
  <c r="E33" i="6"/>
  <c r="E32" i="6"/>
  <c r="E30" i="6"/>
  <c r="E29" i="6"/>
  <c r="E27" i="6"/>
  <c r="E25" i="6"/>
  <c r="E24" i="6"/>
  <c r="E23" i="6"/>
  <c r="E22" i="6"/>
  <c r="E20" i="6"/>
  <c r="E19" i="6"/>
  <c r="E17" i="6"/>
  <c r="E16" i="6"/>
  <c r="E15" i="6"/>
  <c r="E14" i="6"/>
  <c r="E13" i="6"/>
  <c r="E12" i="6"/>
  <c r="E11" i="6"/>
  <c r="E10" i="6"/>
  <c r="E9" i="6"/>
  <c r="E7" i="6"/>
  <c r="E6" i="6"/>
  <c r="E4" i="6"/>
  <c r="E5" i="6" s="1"/>
  <c r="E39" i="2"/>
  <c r="E37" i="2"/>
  <c r="E36" i="2"/>
  <c r="E35" i="2"/>
  <c r="E34" i="2"/>
  <c r="E33" i="2"/>
  <c r="E32" i="2"/>
  <c r="E19" i="2"/>
  <c r="E18" i="2"/>
  <c r="E15" i="2"/>
  <c r="E46" i="1"/>
  <c r="E45" i="1"/>
  <c r="E44" i="1"/>
  <c r="E43" i="1"/>
  <c r="E42" i="1"/>
  <c r="E38" i="1"/>
  <c r="E37" i="1"/>
  <c r="E34" i="1"/>
  <c r="E32" i="1"/>
  <c r="E31" i="1"/>
  <c r="E26" i="1"/>
  <c r="E25" i="1"/>
  <c r="E24" i="1"/>
  <c r="E23" i="1"/>
  <c r="E22" i="1"/>
  <c r="E18" i="1"/>
  <c r="E17" i="1"/>
  <c r="E15" i="1"/>
  <c r="E14" i="1"/>
  <c r="E12" i="1"/>
  <c r="E10" i="1"/>
  <c r="E9" i="1"/>
  <c r="E7" i="1"/>
  <c r="E6" i="1"/>
  <c r="E5" i="1"/>
  <c r="E4" i="1"/>
</calcChain>
</file>

<file path=xl/sharedStrings.xml><?xml version="1.0" encoding="utf-8"?>
<sst xmlns="http://schemas.openxmlformats.org/spreadsheetml/2006/main" count="641" uniqueCount="323">
  <si>
    <t>序号</t>
  </si>
  <si>
    <t>工程名称</t>
  </si>
  <si>
    <t>单位</t>
  </si>
  <si>
    <t>金额（元）</t>
  </si>
  <si>
    <t>备注</t>
  </si>
  <si>
    <t>科达学院餐厅装修部分</t>
  </si>
  <si>
    <t>项</t>
  </si>
  <si>
    <t>科达学院餐厅机电部分</t>
  </si>
  <si>
    <t>公寓楼餐厅装修部分</t>
  </si>
  <si>
    <t>公寓楼餐厅机电部分</t>
  </si>
  <si>
    <t>安全文明施工费</t>
  </si>
  <si>
    <t>工程施工管理费</t>
  </si>
  <si>
    <t>利润</t>
  </si>
  <si>
    <t>税金</t>
  </si>
  <si>
    <t>工程总造价</t>
  </si>
  <si>
    <t>科达学院首层餐厅装修部分改造工程量清单</t>
  </si>
  <si>
    <t>项目特征</t>
  </si>
  <si>
    <t>数量</t>
  </si>
  <si>
    <t>综合单价</t>
  </si>
  <si>
    <t>合价</t>
  </si>
  <si>
    <t>砌筑工程</t>
  </si>
  <si>
    <t>砌体墙</t>
  </si>
  <si>
    <t>1.墙体类型：内墙
2.墙体厚度：200mm厚
3.砌块品种、规格、强度等级：蒸压加气混凝土砌块，规格、强度等级按图纸设计要求
4.砂浆强度等级、配合比：综合考虑</t>
  </si>
  <si>
    <t>㎡</t>
  </si>
  <si>
    <t>挂网抹灰</t>
  </si>
  <si>
    <t>1. 聚合物水泥砂浆修补墙面
2. 挂网一道
3. 108胶素水泥浆一道
4. 砖墙基层(加气混凝土砌块)</t>
  </si>
  <si>
    <t>含外墙重新批荡</t>
  </si>
  <si>
    <t>构造柱</t>
  </si>
  <si>
    <t>构造柱200*200
1.混凝土强度等级：C25；
2.混凝土拌和料要求：碎石20石；
3.主筋4φ16，箍筋采用φ8@200；
4.模板制安。</t>
  </si>
  <si>
    <t>m³</t>
  </si>
  <si>
    <t>圈梁</t>
  </si>
  <si>
    <t>圈梁200*200
1.混凝土强度等级：C25；
2.混凝土拌和料要求：碎石20石；
3.主筋4φ12，箍筋采用φ6@200；
4.模板制安。</t>
  </si>
  <si>
    <t>地面部分</t>
  </si>
  <si>
    <t>瓷砖楼地面</t>
  </si>
  <si>
    <t>磁砖单价含美缝</t>
  </si>
  <si>
    <t>门槛石</t>
  </si>
  <si>
    <t>1.面层：芝麻黑大理石门槛 厚度18mm
2.18mm厚大理石面层
3. 5~10mm厚专用粘结剂 
4. 20~30mm厚1:3干硬性水泥砂浆结合层,表面撒水泥粉(厚度根据现场实际调整)
5. 素水泥浆一道(内掺建筑胶)
6. 现浇混凝土楼板(原建筑)</t>
  </si>
  <si>
    <t>顶面部分</t>
  </si>
  <si>
    <t>2.0mm厚木纹铝格栅吊顶</t>
  </si>
  <si>
    <t>造型铝单板吊顶</t>
  </si>
  <si>
    <t>m</t>
  </si>
  <si>
    <t>硅酸钙板吊顶</t>
  </si>
  <si>
    <t>1.轻钢龙骨
2.9mm阻燃版+8mm硅酸钙板
3.含风口、灯具、检修口等开孔及综合考虑收边收口
4.侧面展开计量，并入天花
5.详见天花通用大样图</t>
  </si>
  <si>
    <t>顶面乳胶漆</t>
  </si>
  <si>
    <t>1.白色乳胶漆
2.顶面打磨平整
3.满刮腻子2遍
4.以实际涂抹展开面积计算（包含灯槽及窗帘盒以展开面积计算）</t>
  </si>
  <si>
    <t>天棚灯槽</t>
  </si>
  <si>
    <t>窗帘盒</t>
  </si>
  <si>
    <t xml:space="preserve">原顶天花中灰色无机乳胶漆  </t>
  </si>
  <si>
    <t>1. 罩光无机涂料一道(喷涂)
2. 防霉无机涂料一道
3. 封闭无机底涂料一道
4. 3厚1:0.5:2.5水泥石灰膏砂浆找平
5. 5厚1:0.5:3水泥石灰膏砂浆打底扫毛
6. 108胶素水泥浆一道(内掺水重3%~5%的108胶)
7. 现浇钢筋混凝土楼板</t>
  </si>
  <si>
    <t>墙面部分</t>
  </si>
  <si>
    <t>瓷砖墙面</t>
  </si>
  <si>
    <t>墙面乳胶漆</t>
  </si>
  <si>
    <t>1.白色乳胶漆
2.墙面打磨平整
3.满刮腻子2遍
4.以实际涂抹展开面积计算（包含灯槽及窗帘盒以展开面积计算）</t>
  </si>
  <si>
    <t>柱面干挂维纳斯灰大板砖</t>
  </si>
  <si>
    <t>50mm古铜色拉丝不锈钢踢脚线</t>
  </si>
  <si>
    <t>50mm古铜色拉丝不锈钢顶部收口线</t>
  </si>
  <si>
    <t>2.0厚木纹色铝合金单板门头饰面</t>
  </si>
  <si>
    <t>木纹色铝板门套饰面
1.面层：木纹色铝板
2.基层：双层15mm阻燃夹板</t>
  </si>
  <si>
    <t>消防门贴木纹铝板</t>
  </si>
  <si>
    <t>新做防火门贴木纹铝板
1.面层：木饰面</t>
  </si>
  <si>
    <t>餐厅进出厨房门2扇</t>
  </si>
  <si>
    <t>明档料理台</t>
  </si>
  <si>
    <t>吧台桌</t>
  </si>
  <si>
    <t>冷库后面吧台桌</t>
  </si>
  <si>
    <t>铁方管焗白漆造型花基</t>
  </si>
  <si>
    <t>铁方管焗白漆造型花基+白色人造石吧台</t>
  </si>
  <si>
    <t>木纹色铝合金单板单排座椅+铁方管焗白漆造型花基</t>
  </si>
  <si>
    <t>木纹色铝合金单板双排座椅+铁方管焗白漆造型花基</t>
  </si>
  <si>
    <t>单排自助取餐台</t>
  </si>
  <si>
    <t>双排自助取餐台</t>
  </si>
  <si>
    <t>外墙深灰色铝单板包柱</t>
  </si>
  <si>
    <t>外立面图纸中立柱外侧包铝单板</t>
  </si>
  <si>
    <t>深灰色铝单板</t>
  </si>
  <si>
    <t>外墙窗顶与雨棚之间包铝单板</t>
  </si>
  <si>
    <t>灰色光面外墙砖</t>
  </si>
  <si>
    <t>外墙仿石砖</t>
  </si>
  <si>
    <t>门窗工程</t>
  </si>
  <si>
    <t>电梯不锈钢门套</t>
  </si>
  <si>
    <t>250*300电梯不锈钢原色门套</t>
  </si>
  <si>
    <t>不锈钢门M1522</t>
  </si>
  <si>
    <t>玻璃防火门</t>
  </si>
  <si>
    <t>1#、2#楼梯进出餐厅侧门</t>
  </si>
  <si>
    <t>不锈钢电动玻璃门</t>
  </si>
  <si>
    <t>科达学院主入口大门，大门顶部与窗顶部平齐</t>
  </si>
  <si>
    <t>外墙铝合金窗</t>
  </si>
  <si>
    <t>科达学院主入口</t>
  </si>
  <si>
    <t>外立面雨棚</t>
  </si>
  <si>
    <t>1、主梁采用180*100*4.0（Q235B)矩形钢管，面喷氟碳漆
2、次梁采用100*50*3.0（Q235B)矩形钢管，面喷氟碳漆
3、拉钢梁采用∅89x3.0（Q235B)钢管，面喷氟碳漆
4、顶面铺贴5mm厚灰色亚克力耐力板</t>
  </si>
  <si>
    <r>
      <rPr>
        <sz val="11"/>
        <rFont val="宋体"/>
        <family val="3"/>
        <charset val="134"/>
        <scheme val="minor"/>
      </rPr>
      <t>请在本栏注明，把顶 面铺贴5MM厚灰色耐力板改为（5+5）夹胶玻璃的 综合单价</t>
    </r>
    <r>
      <rPr>
        <u/>
        <sz val="11"/>
        <rFont val="宋体"/>
        <family val="3"/>
        <charset val="134"/>
        <scheme val="minor"/>
      </rPr>
      <t xml:space="preserve">：      （元/㎡） </t>
    </r>
  </si>
  <si>
    <t>合计</t>
  </si>
  <si>
    <t>科达学院首层餐厅机电部分改造工程量清单</t>
  </si>
  <si>
    <t>电气部分</t>
  </si>
  <si>
    <t>配电箱1CTZM</t>
  </si>
  <si>
    <t>1. 名称：配电箱
2. 安装方式：嵌入式安装
3. 箱(柜)安装、调试及接地
4. 端子板外部接线
5. 焊、压接线端子
6. 箱体现场开孔</t>
  </si>
  <si>
    <t>台</t>
  </si>
  <si>
    <t>配电箱1CTZM1</t>
  </si>
  <si>
    <t>配电箱1ALE</t>
  </si>
  <si>
    <t>配电箱1CTKT</t>
  </si>
  <si>
    <t>配电箱APZ</t>
  </si>
  <si>
    <t>电缆桥架CT200X100</t>
  </si>
  <si>
    <t>1.规格型号:桥架200X100，壁厚按国标厚度
2.类型:线槽
3.材质：钢制槽式桥架带盖板
本体安装；接地；跨接线；防腐防锈处理等；刷油；防火封堵；支吊架制作安装及其它安装所需一切附件。</t>
  </si>
  <si>
    <t>电力电缆WDZ-YJY-4*185+1*95</t>
  </si>
  <si>
    <t>1.规格型号:WDZ-YJY-4*185+1*95
2.敷设方式:管内敷设、线槽内敷设
电缆敷设；电缆封套、线耳；防火封堵；其它一切附件。含电缆头定位、量尺寸、锯断、剥保护层及绝缘层、清洗、包缠绝缘、压连接管计接线端子、安装、接线；</t>
  </si>
  <si>
    <t>电力电缆WDZ-YJY-4*35+1*16</t>
  </si>
  <si>
    <t>1.规格型号:WDZ-YJY-4*35+1*16
2.敷设方式:管内敷设、线槽内敷设
电缆敷设；电缆封套、线耳；防火封堵；其它一切附件。含电缆头定位、量尺寸、锯断、剥保护层及绝缘层、清洗、包缠绝缘、压连接管计接线端子、安装、接线；</t>
  </si>
  <si>
    <t>电力电缆WDZ-YJY-3*2.5</t>
  </si>
  <si>
    <t>1.规格型号:WDZ-YJY-3*2.5
2.敷设方式:管内敷设、线槽内敷设
电缆敷设；电缆封套、线耳；防火封堵；其它一切附件。含电缆头定位、量尺寸、锯断、剥保护层及绝缘层、清洗、包缠绝缘、压连接管计接线端子、安装、接线；</t>
  </si>
  <si>
    <t>电力电缆WDZ-YJY-4*2.5</t>
  </si>
  <si>
    <t>1.规格型号:WDZ-YJY-4*2.5
2.敷设方式:管内敷设、线槽内敷设
电缆敷设；电缆封套、线耳；防火封堵；其它一切附件。含电缆头定位、量尺寸、锯断、剥保护层及绝缘层、清洗、包缠绝缘、压连接管计接线端子、安装、接线；</t>
  </si>
  <si>
    <t>电力电缆WDZ-YJY-5*6</t>
  </si>
  <si>
    <t>1.规格型号:WDZ-YJY-5*6
2.敷设方式:管内敷设、线槽内敷设
电缆敷设；电缆封套、线耳；防火封堵；其它一切附件。含电缆头定位、量尺寸、锯断、剥保护层及绝缘层、清洗、包缠绝缘、压连接管计接线端子、安装、接线；</t>
  </si>
  <si>
    <t>紧定式电线管JDG20</t>
  </si>
  <si>
    <t>1.名称:套接紧定式钢导管
2.规格型号:JDG20
支、吊架制作及安装；配管；引线；管堵；剔槽；清理；恢复；防腐、油漆；防火涂料；接地；其它一切附件</t>
  </si>
  <si>
    <t>紧定式电线管JDG25</t>
  </si>
  <si>
    <t>DN20金属波纹管</t>
  </si>
  <si>
    <t>1.名称:金属波纹管
2.规格型号:DN20
支、吊架制作及安装；配管；引线；管堵；剔槽；清理；恢复；防腐、油漆；防火涂料；接地；其它一切附件</t>
  </si>
  <si>
    <t>WDZ-BYJ-2.5</t>
  </si>
  <si>
    <t>1.规格型号:WDZB1-BYJ-2.5
2.敷设方式:管内敷设、线槽内敷设</t>
  </si>
  <si>
    <t>WDZ-BYJ-4</t>
  </si>
  <si>
    <t>1.规格型号:WDZB1-BYJ-450/750V-4
2.敷设方式:管内敷设、线槽内敷设</t>
  </si>
  <si>
    <t>安全出口指示灯</t>
  </si>
  <si>
    <t>1.名称：安全出口指示灯                         2.规格型号：三雄极光
灯具成套安装；安装、接线；支、吊架制作安装；金属软管敷设；补漆；试亮等；其它一切配件等</t>
  </si>
  <si>
    <t>套</t>
  </si>
  <si>
    <t>疏散指示灯</t>
  </si>
  <si>
    <t>双头应急灯</t>
  </si>
  <si>
    <t>吊扇</t>
  </si>
  <si>
    <t>1.名称：吊扇
2.规格型号：美的
3.安装高度：根据设计图纸
吊扇成套安装；安装、接线；支、吊架制作安装；金属软管敷设；补漆；调试等；其它一切配件等</t>
  </si>
  <si>
    <t>明装筒灯</t>
  </si>
  <si>
    <t>1.名称：明装筒灯                         2.规格型号：三雄极光 PAK415050 功率：26W.
灯具成套安装；安装、接线；支、吊架制作安装；金属软管敷设；补漆；试亮等；其它一切配件等</t>
  </si>
  <si>
    <t>明装灯盘</t>
  </si>
  <si>
    <t>1.名称：明装灯盘                         2.规格型号：三雄极光 功率：30W.1200*100
灯具成套安装；安装、接线；支、吊架制作安装；金属软管敷设；补漆；试亮等；其它一切配件等</t>
  </si>
  <si>
    <t>射灯</t>
  </si>
  <si>
    <t>1.名称：射灯                         2.规格型号：三雄极光 PAK565372 功率：25W.光束角度24°
灯具成套安装；安装、接线；支、吊架制作安装；金属软管敷设；补漆；试亮等；其它一切配件等</t>
  </si>
  <si>
    <t>防雾筒灯</t>
  </si>
  <si>
    <t>1.名称：防雾筒灯                       2.规格型号：三雄极光 PAK410192 功率：15W.
灯具成套安装；安装、接线；支、吊架制作安装；金属软管敷设；补漆；试亮等；其它一切配件等</t>
  </si>
  <si>
    <t>灯带</t>
  </si>
  <si>
    <t>1.名称：灯带                         2.规格型号：三雄极光 T5管 功率：24W.
灯具成套安装；安装、接线；支、吊架制作安装；金属软管敷设；补漆；试亮等；其它一切配件等</t>
  </si>
  <si>
    <t>防溅型插座</t>
  </si>
  <si>
    <t>1.名称：防溅型插座
2.规格型号：西门子
3.安装高度：根据设计图纸
灯具成套安装；安装、接线；支、吊架制作安装；金属软管敷设；补漆；试亮等；其它一切配件等</t>
  </si>
  <si>
    <t>五孔插座</t>
  </si>
  <si>
    <t>1.名称：五孔插座
2.规格型号：西门子
3.安装高度：根据设计图纸
灯具成套安装；安装、接线；支、吊架制作安装；金属软管敷设；补漆；试亮等；其它一切配件等</t>
  </si>
  <si>
    <t>给排水部分</t>
  </si>
  <si>
    <t>PPR给水管DN15</t>
  </si>
  <si>
    <t>1.安装部位:室内
2.输送介质:给水
3.材质:PPR管
4.规格型号DN15、2MPa
5.连接方式:热熔连接
6.切管、清理、上零件、调直
7.管道、管件及管卡连接、安装
8.一般套管制作、安装
9.给水管道消毒、清洗
10.水压及泄漏试验</t>
  </si>
  <si>
    <t>PPR给水管DN20</t>
  </si>
  <si>
    <t>1.安装部位:室内
2.输送介质:给水
3.材质:PPR管
4.规格型号DN20、2MPa
5.连接方式:热熔连接
6.切管、清理、上零件、调直
7.管道、管件及管卡连接、安装
8.一般套管制作、安装
9.给水管道消毒、清洗
10.水压及泄漏试验</t>
  </si>
  <si>
    <t>PPR给水管DN25</t>
  </si>
  <si>
    <t>1.安装部位:室内
2.输送介质:给水
3.材质:PPR管
4.规格型号DN25、2MPa
5.连接方式:热熔连接
6.切管、清理、上零件、调直
7.管道、管件及管卡连接、安装
8.一般套管制作、安装
9.给水管道消毒、清洗
10.水压及泄漏试验</t>
  </si>
  <si>
    <t>PPR给水管DN32</t>
  </si>
  <si>
    <t>1.安装部位:室内
2.输送介质:给水
3.材质:PPR管
4.规格型号DN32、2MPa
5.连接方式:热熔连接
6.切管、清理、上零件、调直
7.管道、管件及管卡连接、安装
8.一般套管制作、安装
9.给水管道消毒、清洗
10.水压及泄漏试验</t>
  </si>
  <si>
    <t>PPR给水管DN50</t>
  </si>
  <si>
    <t>1.安装部位:室内
2.输送介质:给水
3.材质:PPR管
4.规格型号DN50、2MPa
5.连接方式:热熔连接
6.切管、清理、上零件、调直
7.管道、管件及管卡连接、安装
8.一般套管制作、安装
9.给水管道消毒、清洗
10.水压及泄漏试验</t>
  </si>
  <si>
    <t>PPR给水管DN65</t>
  </si>
  <si>
    <t>1.安装部位:室内
2.输送介质:给水
3.材质:PPR管
4.规格型号DN65、2MPa
5.连接方式:热熔连接
6.切管、清理、上零件、调直
7.管道、管件及管卡连接、安装
8.一般套管制作、安装
9.给水管道消毒、清洗
10.水压及泄漏试验</t>
  </si>
  <si>
    <t>PPR给水管DN80</t>
  </si>
  <si>
    <t>1.安装部位:室内
2.输送介质:给水
3.材质:PPR管
4.规格型号DN80、2MPa
5.连接方式:热熔连接
6.切管、清理、上零件、调直
7.管道、管件及管卡连接、安装
8.一般套管制作、安装
9.给水管道消毒、清洗
10.水压及泄漏试验</t>
  </si>
  <si>
    <t>UPVC排水管DN50</t>
  </si>
  <si>
    <t>1.安装部位:室内
2.输送介质:污水
3.材质:U-PVC管
4.规格型号: Φ50
5.连接方式:粘接
6.切管、清理、上零件、调直
7.管道、管件、伸缩节及管卡的制作、安装
8.一般套管制作、安装
9.洞口预留、防火堵洞
10.灌水、通水、通球及泄露试验
11.阻火圈制作安装</t>
  </si>
  <si>
    <t>UPVC排水管DN100</t>
  </si>
  <si>
    <t>1.安装部位:室内
2.输送介质:污水
3.材质:U-PVC管
4.规格型号: Φ100
5.连接方式:粘接
6.切管、清理、上零件、调直
7.管道、管件、伸缩节及管卡的制作、安装
8.一般套管制作、安装
9.洞口预留、防火堵洞
10.灌水、通水、通球及泄露试验
11.阻火圈制作安装</t>
  </si>
  <si>
    <t>公寓楼首层餐厅装修部分改造工程量清单</t>
  </si>
  <si>
    <t>m2</t>
  </si>
  <si>
    <t>m3</t>
  </si>
  <si>
    <t>地面找平</t>
  </si>
  <si>
    <t>1.20mm厚水泥砂浆找平</t>
  </si>
  <si>
    <t>地面防水</t>
  </si>
  <si>
    <t>1. 聚氨酯防水涂料1.5厚,涂抹三遍</t>
  </si>
  <si>
    <t>防水保护层</t>
  </si>
  <si>
    <t>1.20mm厚水泥砂浆防水保护层</t>
  </si>
  <si>
    <t>沉箱回填</t>
  </si>
  <si>
    <t>1、陶粒混凝土回填</t>
  </si>
  <si>
    <t>包间吊顶灯槽及明档区灯槽</t>
  </si>
  <si>
    <t>铝扣板吊顶</t>
  </si>
  <si>
    <t>办公室与储藏室（详见公寓楼后补图纸）</t>
  </si>
  <si>
    <t>墙面防水</t>
  </si>
  <si>
    <t>1.聚氨酯防水涂料1.5厚,涂抹三遍涂刷高度2.7m</t>
  </si>
  <si>
    <t>m²</t>
  </si>
  <si>
    <t>柱面古铜色拉丝不锈钢圆角线条</t>
  </si>
  <si>
    <t>1.规格R20mm
2.面层:2.0mm厚古铜色拉丝不锈钢收边线</t>
  </si>
  <si>
    <t>80mm古铜色拉丝不锈钢踢脚线</t>
  </si>
  <si>
    <t>1.规格:80+20mm
2.骨架:9mm阻燃版基层
3.面层:2.0mm厚古铜色拉丝不锈钢踢脚线 80mm高</t>
  </si>
  <si>
    <t>护墙板</t>
  </si>
  <si>
    <t>1、骨架：轻钢龙骨
2、基层：9mm厚阻燃版
3、面层：9mm厚木纹竹纤维板</t>
  </si>
  <si>
    <t>护墙板收口线</t>
  </si>
  <si>
    <t>1.规格:40+20mm
2.面层:2.0mm厚古铜色拉丝不锈钢收边线</t>
  </si>
  <si>
    <t>40mm古铜色拉丝不锈钢踢脚线</t>
  </si>
  <si>
    <t>1.规格:40+20mm
2.骨架:9mm阻燃版基层
3.面层:2.0mm厚古铜色拉丝不锈钢踢脚线 40mm高</t>
  </si>
  <si>
    <t>包间活动隔断</t>
  </si>
  <si>
    <t>1.L50*5角钢固定轨道，
2.85铝合金路轨
3.85系列双面饰面板隔断</t>
  </si>
  <si>
    <t>包间中间的活动隔断大样图为DE-16</t>
  </si>
  <si>
    <t>屏风</t>
  </si>
  <si>
    <t>1、外框采用30*80*2古铜色拉丝不锈钢方通焊制，
2、内框采用20*60*2古铜色拉丝不锈钢方通焊制，
3、内造型格采用20*20*2古铜色拉丝不锈钢方通焊制，
4、双层夹胶夹丝钢化玻璃
具体做法，详见图纸</t>
  </si>
  <si>
    <t>明档区夹丝玻璃</t>
  </si>
  <si>
    <t>1、骨架：C60系列轻钢龙骨
2、基层：9mm阻燃版基层
3、面层：5+5夹丝玻璃</t>
  </si>
  <si>
    <t>明档取餐台</t>
  </si>
  <si>
    <t>详见ELE-02</t>
  </si>
  <si>
    <t>屋檐屏风</t>
  </si>
  <si>
    <t>详见DE-06,DE-07</t>
  </si>
  <si>
    <t>100mm古铜色拉丝不锈钢踢脚线</t>
  </si>
  <si>
    <t>1.规格:100+20mm
2.骨架:9mm阻燃版基层
3.面层:2.0mm厚古铜色拉丝不锈钢踢脚线 100mm高</t>
  </si>
  <si>
    <t>不锈钢玻璃门</t>
  </si>
  <si>
    <t>1、南北侧面玻璃门
2.门框料采用70系列，主型材基材壁厚公称尺寸外门不应小于2.2mm，内门不应小于2.0mm
3.12mm钢化清玻
4.含五金门锁，不锈钢门套</t>
  </si>
  <si>
    <t>南北侧面玻璃门</t>
  </si>
  <si>
    <t>双开复合门</t>
  </si>
  <si>
    <t>樘</t>
  </si>
  <si>
    <t>南侧、北侧外墙铝合金窗</t>
  </si>
  <si>
    <t>南北主入口大门</t>
  </si>
  <si>
    <t>明档区上下折叠窗</t>
  </si>
  <si>
    <t>1、1.4mm厚75系列铝合金框架
2、6mm钢化玻璃</t>
  </si>
  <si>
    <t>B</t>
  </si>
  <si>
    <t>取餐口窗C2024</t>
  </si>
  <si>
    <t>餐厅取餐口窗</t>
  </si>
  <si>
    <t>D</t>
  </si>
  <si>
    <t>公寓楼首层餐厅机电部分改造工程量清单</t>
  </si>
  <si>
    <t>配电箱2CTZM</t>
  </si>
  <si>
    <t>配电箱2CTKT</t>
  </si>
  <si>
    <t>配电箱2ALE</t>
  </si>
  <si>
    <t>电力电缆WDZ-YJY-3*150+2*70</t>
  </si>
  <si>
    <t>1.规格型号:WDZ-YJY-3*150+2*70
2.敷设方式:管内敷设、线槽内敷设
电缆敷设；电缆封套、线耳；防火封堵；其它一切附件。含电缆头定位、量尺寸、锯断、剥保护层及绝缘层、清洗、包缠绝缘、压连接管计接线端子、安装、接线；</t>
  </si>
  <si>
    <t>1.规格型号:WDZB1-BYJ-4
2.敷设方式:管内敷设、线槽内敷设</t>
  </si>
  <si>
    <t>1.名称：T5支架 1.2m  16W                     2.规格型号：三雄极光 PAK415050 功率：26W.
灯具成套安装；安装、接线；支、吊架制作安装；金属软管敷设；补漆；试亮等；其它一切配件等</t>
  </si>
  <si>
    <t>轨道射灯</t>
  </si>
  <si>
    <t>1.名称：射灯                         2.规格型号：三雄极光 PAK413130 功率：25W.光束角度24°
灯具成套安装；安装、接线；支、吊架制作安装；金属软管敷设；补漆；试亮等；其它一切配件等</t>
  </si>
  <si>
    <t>1.名称：明装灯盘                         2.规格型号：三雄极光 功率：30W.1500*100
灯具成套安装；安装、接线；支、吊架制作安装；金属软管敷设；补漆；试亮等；其它一切配件等</t>
  </si>
  <si>
    <t>600*600扣板灯</t>
  </si>
  <si>
    <t>1.名称：600*600扣板灯                       2.规格型号：三雄极光 功率：3*12W
灯具成套安装；安装、接线；支、吊架制作安装；金属软管敷设；补漆；试亮等；其它一切配件等</t>
  </si>
  <si>
    <t>安全金属地插</t>
  </si>
  <si>
    <t>1.名称：安全金属地插
2.规格型号：西门子
3.安装高度：根据设计图纸
灯具成套安装；安装、接线；支、吊架制作安装；金属软管敷设；补漆；试亮等；其它一切配件等</t>
  </si>
  <si>
    <t>UPVC排水管DN75</t>
  </si>
  <si>
    <t>1.安装部位:室内
2.输送介质:污水
3.材质:U-PVC管
4.规格型号: Φ75
5.连接方式:粘接
6.切管、清理、上零件、调直
7.管道、管件、伸缩节及管卡的制作、安装
8.一般套管制作、安装
9.洞口预留、防火堵洞
10.灌水、通水、通球及泄露试验
11.阻火圈制作安装</t>
  </si>
  <si>
    <t>UPVC排水管DN150</t>
  </si>
  <si>
    <t>1.安装部位:室内
2.输送介质:污水
3.材质:U-PVC管
4.规格型号: Φ150
5.连接方式:粘接
6.切管、清理、上零件、调直
7.管道、管件、伸缩节及管卡的制作、安装
8.一般套管制作、安装
9.洞口预留、防火堵洞
10.灌水、通水、通球及泄露试验
11.阻火圈制作安装</t>
  </si>
  <si>
    <t>UPVC排水管DN200</t>
  </si>
  <si>
    <t>1.安装部位:室内
2.输送介质:污水
3.材质:U-PVC管
4.规格型号: Φ200
5.连接方式:粘接
6.切管、清理、上零件、调直
7.管道、管件、伸缩节及管卡的制作、安装
8.一般套管制作、安装
9.洞口预留、防火堵洞
10.灌水、通水、通球及泄露试验
11.阻火圈制作安装</t>
  </si>
  <si>
    <t>地漏BA-15 3955MCL</t>
  </si>
  <si>
    <t>1.名称 ：地漏
2.型号规格：3955MCL
3.安装、与下水管连接
4.试水及泄漏性试验</t>
  </si>
  <si>
    <t>备注</t>
    <phoneticPr fontId="8" type="noConversion"/>
  </si>
  <si>
    <t>备注</t>
    <phoneticPr fontId="8" type="noConversion"/>
  </si>
  <si>
    <t>m</t>
    <phoneticPr fontId="8" type="noConversion"/>
  </si>
  <si>
    <t>1.轻钢龙骨
2.40*60*2mm木纹铝格栅，铝通中心间距@125
3.含风口、灯具、检修口等开孔及综合考虑收边收口</t>
    <phoneticPr fontId="8" type="noConversion"/>
  </si>
  <si>
    <t>外墙玻璃与天花交界处</t>
    <phoneticPr fontId="8" type="noConversion"/>
  </si>
  <si>
    <t>包间门</t>
    <phoneticPr fontId="8" type="noConversion"/>
  </si>
  <si>
    <t>1.轻钢龙骨
2.40*60*2mm木纹铝格栅，铝通中心间距@240
3.含风口、灯具、检修口等开孔及综合考虑收边收口</t>
    <phoneticPr fontId="8" type="noConversion"/>
  </si>
  <si>
    <t>1、窗框料采用70系列，主型材基材壁厚公称尺寸外窗不应小于1.8mm，内门不应小于1.4mm
2、12mm钢化玻璃</t>
  </si>
  <si>
    <t>窗帘盒尺寸见大样图</t>
    <phoneticPr fontId="8" type="noConversion"/>
  </si>
  <si>
    <t>序号</t>
    <phoneticPr fontId="8" type="noConversion"/>
  </si>
  <si>
    <t>后补图PD-01图纸为450*900，清单900*900。甲方确认更改为：仓库、办公室、洗手间的地面统一为900*900，按清单中说明</t>
    <phoneticPr fontId="8" type="noConversion"/>
  </si>
  <si>
    <t>图纸设计：双层无棉硅板6厚天花，甲方确认按清单改为9mm阻燃板+8mm硅酸钙板天花，按清单修改说明</t>
    <phoneticPr fontId="8" type="noConversion"/>
  </si>
  <si>
    <t>不锈钢门套均为新做，在门的综合单价中考虑</t>
    <phoneticPr fontId="8" type="noConversion"/>
  </si>
  <si>
    <t>所有不锈钢外门套材料厚度为1.0mm原色不锈钢</t>
    <phoneticPr fontId="8" type="noConversion"/>
  </si>
  <si>
    <t>特别说明：科达学院东面从餐厅出到东楼梯的地弹门为防火玻璃门</t>
    <phoneticPr fontId="8" type="noConversion"/>
  </si>
  <si>
    <t>特别说明：科达学院餐厅进出厨房的2扇门，清单与图纸做法不一致，请以清单为准，采用全不锈钢门，双百页进出（可参见仙涌食堂）</t>
    <phoneticPr fontId="8" type="noConversion"/>
  </si>
  <si>
    <t>补充说明</t>
    <phoneticPr fontId="8" type="noConversion"/>
  </si>
  <si>
    <r>
      <t>1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本次招标内容：餐厅天花装饰工程、墙面柱面装饰工程、地面装饰工程，电气工程、给排水工程、首层外立面、门窗、雨棚工程（详见工程量清单及图纸）；</t>
    </r>
    <phoneticPr fontId="8" type="noConversion"/>
  </si>
  <si>
    <r>
      <t>2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空调部分、消防部分、弱电及智能化部分不在本次招标范围；</t>
    </r>
    <phoneticPr fontId="8" type="noConversion"/>
  </si>
  <si>
    <t>餐厅装修工程范围划分说明</t>
    <phoneticPr fontId="8" type="noConversion"/>
  </si>
  <si>
    <r>
      <t>4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厨房与餐厅相接的墙体及门窗属于餐厅部分施工；厨房内墙体及内门窗属于厨房部分施工；</t>
    </r>
    <phoneticPr fontId="8" type="noConversion"/>
  </si>
  <si>
    <t>包间、明档及楼梯间灯槽尺寸见大样图</t>
    <phoneticPr fontId="8" type="noConversion"/>
  </si>
  <si>
    <t>公寓楼北面2个取餐窗口的窗是上下折叠窗，上部不是固定的</t>
    <phoneticPr fontId="8" type="noConversion"/>
  </si>
  <si>
    <t>广隆厂生活区升级改造项目之食堂餐厅装修工程汇总表</t>
    <phoneticPr fontId="8" type="noConversion"/>
  </si>
  <si>
    <r>
      <t>3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公司总电房至入户主配电箱的主电缆不在本次招标范围；</t>
    </r>
    <phoneticPr fontId="8" type="noConversion"/>
  </si>
  <si>
    <r>
      <t>6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室内墙面地面包柱瓷砖为甲供材料（除厨房地砖外），洁具为甲供材料</t>
    </r>
    <r>
      <rPr>
        <sz val="11"/>
        <color theme="1"/>
        <rFont val="Calibri"/>
        <family val="2"/>
      </rPr>
      <t>.</t>
    </r>
    <phoneticPr fontId="8" type="noConversion"/>
  </si>
  <si>
    <r>
      <t>5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明档区取餐台及顶面不锈钢造型、屏风，夹丝玻璃属于餐厅部分</t>
    </r>
    <r>
      <rPr>
        <sz val="11"/>
        <color theme="1"/>
        <rFont val="Calibri"/>
        <family val="2"/>
      </rPr>
      <t>,</t>
    </r>
    <r>
      <rPr>
        <sz val="11"/>
        <color theme="1"/>
        <rFont val="宋体"/>
        <family val="3"/>
        <charset val="134"/>
      </rPr>
      <t>明档区内地面及墙面贴砖，顶面铝扣板属于厨房部分；</t>
    </r>
    <phoneticPr fontId="8" type="noConversion"/>
  </si>
  <si>
    <t>窗帘盒</t>
    <phoneticPr fontId="8" type="noConversion"/>
  </si>
  <si>
    <t>1.面层：600*1200浅灰仿石瓷砖（主材甲供）
2.瓷砖裁切.开槽.磨边等加工
3.8~10厚墙砖,2宽专用美缝剂美缝
4.5~10厚专用粘结剂面贴至吊顶底
5.10~15厚1:3水泥砂浆找平
6.素水泥浆一道(内掺建筑胶)
7.砖墙基层(加气混凝土砌块)</t>
  </si>
  <si>
    <t>1.面层：维纳斯灰大板砖（主材甲供）
2.瓷砖裁切.开槽.磨边等加工
3.骨架:L50x50x5mm镀锌角钢，镀锌挂件
4.包括墙砖切割.深加工.施工及损耗费及图纸设计挂贴方式所需一切工序的人材机费</t>
  </si>
  <si>
    <t>1.聚合物水泥砂浆修补墙面
2.挂网一道
3.108胶素水泥浆一道
4.砖墙基层(加气混凝土砌块)</t>
  </si>
  <si>
    <t>1.面层：PD-01仿古砖600*1200mm（主材甲供）
2.瓷砖裁切.开槽.磨边等加工
3.8~10mm厚地砖1.5~2mm宽专用美缝剂美缝
4.5~10mm厚专用粘结剂
5.30mm厚1:3水泥砂浆找找平或坡向地漏.地沟(厚度根据现场实际调整)
6.素水泥浆一道(内掺建筑胶)
7.现浇混凝土楼板(原建筑)</t>
  </si>
  <si>
    <t>1.面层：芝麻黑大理石门槛厚度18mm
2.18mm厚大理石面层
3.5~10mm厚专用粘结剂
4.20~30mm厚1:3干硬性水泥砂浆结合层,表面撒水泥粉(厚度根据现场实际调整)
5.素水泥浆一道(内掺建筑胶)
6.现浇混凝土楼板(原建筑)</t>
  </si>
  <si>
    <t>1.罩光无机涂料一道(喷涂)
2.防霉无机涂料一道
3.封闭无机底涂料一道
4.3厚1:0.5:2.5水泥石灰膏砂浆找平
5.5厚1:0.5:3水泥石灰膏砂浆打底扫毛
6.108胶素水泥浆一道(内掺水重3%~5%的108胶)
7.现浇钢筋混凝土楼板</t>
  </si>
  <si>
    <t>1.规格:50+20mm
2.骨架:9mm阻燃版基层
3.面层:2.0mm厚古铜色拉丝不锈钢踢脚线50mm高</t>
  </si>
  <si>
    <t>1.规格:50+20mm
2.骨架:9mm阻燃版基层
3.面层:2.0mm厚古铜色拉丝不锈钢顶部收口线50mm高</t>
  </si>
  <si>
    <t>1.面层：PD-01仿古砖450*900mm（主材甲供）
2.瓷砖排版裁切.开槽.磨边等加工
3.8~10mm厚地砖1.5~2mm宽专用美缝剂美缝
4.5~10mm厚专用粘结剂
5.30mm厚1:3水泥砂浆找找平或坡向地漏.地沟(厚度根据现场实际调整)
6.素水泥浆一道(内掺建筑胶)
7.现浇混凝土楼板(原建筑)</t>
  </si>
  <si>
    <t>1.面层：PD-02仿古砖200*1200mm（主材甲供）
2.瓷砖裁切.开槽.磨边等加工
3.8~10mm厚地砖1.5~2mm宽专用填缝剂擦缝
4.5~10mm厚专用粘结剂
5.30mm厚1:3水泥砂浆找找平或坡向地漏.地沟(厚度根据现场实际调整)
6.素水泥浆一道(内掺建筑胶)
7.现浇混凝土楼板(原建筑)</t>
    <phoneticPr fontId="8" type="noConversion"/>
  </si>
  <si>
    <t>1.面层：PD-01仿古砖600*1200mm（主材甲供）
2.瓷砖裁切.开槽.磨边等加工
3.8~10mm厚地砖1.5~2mm宽专用美缝剂美缝
4.5~10mm厚专用粘结剂
5.30mm厚1:3水泥砂浆找找平或坡向地漏.地沟(厚度根据现场实际调整)
6.素水泥浆一道(内掺建筑胶)
7.现浇混凝土楼板(原建筑)</t>
    <phoneticPr fontId="8" type="noConversion"/>
  </si>
  <si>
    <t>1.面层：PD-02仿古砖900*900mm（主材甲供）
2.瓷砖裁切.开槽.磨边等加工
3.8~10mm厚地砖1.5~2mm宽专用填缝剂擦缝
4.5~10mm厚专用粘结剂
5.30mm厚1:3水泥砂浆找找平或坡向地漏.地沟(厚度根据现场实际调整)
6.素水泥浆一道(内掺建筑胶)
7.现浇混凝土楼板(原建筑)</t>
    <phoneticPr fontId="8" type="noConversion"/>
  </si>
  <si>
    <t>1.面层：600*1200浅灰仿石砖（主材甲供）
2.瓷砖裁切.开槽.磨边等加工
3.8~10厚墙砖,2宽专用美缝剂美缝
4.5~10厚专用粘结剂面贴至吊顶底
5.10~15厚1:3水泥砂浆找平
6.素水泥浆一道(内掺建筑胶)
7.砖墙基层(加气混凝土砌块)</t>
    <phoneticPr fontId="8" type="noConversion"/>
  </si>
  <si>
    <t>1.面层：18mm维纳斯灰大板砖（主材甲供）
2.瓷砖裁切.开槽.磨边等加工
3.骨架:L50x50x5mm镀锌角钢，镀锌挂件
4.图纸设计挂贴方式所需一切工序的人材机费</t>
    <phoneticPr fontId="8" type="noConversion"/>
  </si>
  <si>
    <t>1.骨架：50x50x3mm镀锌方通
2.基层：9mm阻燃版基层
3.面层：2.0mm厚古铜色拉丝不锈钢
4.白色大板砖（主材甲供）
5.瓷砖裁切.开槽.磨边等加工
6.150*300*15mm铁方管焗白漆造型花基
7.外形尺寸300*1100mm</t>
    <phoneticPr fontId="8" type="noConversion"/>
  </si>
  <si>
    <t>1.骨架：50x50x3mm镀锌方通
2.基层：9mm阻燃版基层
3.面层：2.0厚木纹色铝合金单板
4.白色大板砖（主材甲供）
5.瓷砖裁切.开槽.磨边等加工
6.150*300*15mm铁方管焗白漆造型花基</t>
    <phoneticPr fontId="8" type="noConversion"/>
  </si>
  <si>
    <t>明档不锈钢造型</t>
    <phoneticPr fontId="8" type="noConversion"/>
  </si>
  <si>
    <t>1.墙体类型：内墙
2.墙体厚度：200mm厚
3.砌块品种.规格.强度等级：蒸压加气混凝土砌块，规格.强度等级按图纸设计要求
4.砂浆强度等级.配合比：综合考虑</t>
  </si>
  <si>
    <t>1.轻钢龙骨
2.40*60*2mm木纹铝格栅，铝通中心线间距@240
3.含风口.灯具.检修口等开孔及综合考虑收边收口</t>
  </si>
  <si>
    <t>1.轻钢龙骨
2.60*190*2mm木纹造型铝方通
3.按铝方通长度计量
4.含风口.灯具.检修口等开孔及综合考虑收边收口</t>
  </si>
  <si>
    <t>1.轻钢龙骨
2.9mm阻燃版+8mm硅酸钙板
3.含风口.灯具.检修口等开孔及综合考虑收边收口
4.侧面展开计量，并入天花
5.详见天花通用大样图</t>
  </si>
  <si>
    <t>1.骨架：:50x50x3mm镀锌方通
2.基层：9mm阻燃版基层
3.面层：2.0厚木纹色铝合金单板
4.150*300*15mm铁方管焗白漆造型花基</t>
  </si>
  <si>
    <t>1.灰色光面外墙砖
详细做法参照图纸</t>
  </si>
  <si>
    <t>1.实心夹板基层
2.1.0mm拉丝不锈钢门板，
3.1.2mm拉丝不锈钢门套线
4.含五金门锁.闭门器.不锈钢门套</t>
  </si>
  <si>
    <t>1.餐厅侧门入口门
2.1.2mm拉丝不锈钢门框，
3.12mm钢化防火玻璃
4.含五金门锁.闭门器.不锈钢门套</t>
  </si>
  <si>
    <t>1.主入口门
2.门框料采用70系列，主型材基材壁厚公称尺寸外门不应小于2.2mm，内门不应小于2.0mm
3.12mm钢化清玻
4.含五金门锁，不锈钢门套，含电机（松下）</t>
  </si>
  <si>
    <t>1.窗框料采用70系列，主型材基材壁厚公称尺寸外窗不应小于1.8mm，内门不应小于1.4mm
2.12mm钢化玻璃</t>
  </si>
  <si>
    <t>1.主梁采用180*100*4.0（Q235B)矩形钢管，面喷氟碳漆
2.次梁采用100*50*3.0（Q235B)矩形钢管，面喷氟碳漆
3.拉钢梁采用∅89x3.0（Q235B)钢管，面喷氟碳漆
4.顶面铺贴5mm厚灰色亚克力耐力板</t>
  </si>
  <si>
    <t>1.骨架：C60系列轻钢龙骨
2.基层：9mm阻燃版基层
3.面层：2.0mm厚古铜色拉丝不锈钢
4.包含大样（DE-7)顶端不锈钢面造型</t>
    <phoneticPr fontId="8" type="noConversion"/>
  </si>
  <si>
    <t>明档料理台</t>
    <phoneticPr fontId="8" type="noConversion"/>
  </si>
  <si>
    <t>1.骨架：:50x50x3mm镀锌方通
2.基层：9mm阻燃版基层
3.面层：2.0厚木纹色铝合金单板
4.白色大板砖（主材甲供）
5.瓷砖裁切.开槽.磨边等加工
6.150*300*15mm铁方管焗白漆造型花基
7.外形尺寸300*1100mm</t>
    <phoneticPr fontId="8" type="noConversion"/>
  </si>
  <si>
    <t>1.面层：维纳斯灰石英石，总宽度450mm
2.骨架:50x50x3mm镀锌方通，配镀锌挂件
3.含图纸设计挂贴方式所需一切工序的人材机费</t>
    <phoneticPr fontId="8" type="noConversion"/>
  </si>
  <si>
    <t>1.面层：维纳斯灰石英石，总宽度950mm
2.骨架:50x50x3mm镀锌方通，配镀锌挂件
3.含图纸设计挂贴方式所需一切工序的人材机费</t>
    <phoneticPr fontId="8" type="noConversion"/>
  </si>
  <si>
    <t>1.骨架：50x50x3mm镀锌方通
2.白色人造石
3.含图纸设计挂贴方式所需一切工序的人材机费</t>
    <phoneticPr fontId="8" type="noConversion"/>
  </si>
  <si>
    <t>1.骨架：:50x50x3mm镀锌方通
2.基层：9mm阻燃版基层
3.面层：2.0厚木纹色铝合金单板
4.白色大板砖（主材甲供）
5.瓷砖裁切.开槽.磨边等加工
6.瓷砖裁切.开槽.磨边等加工
7.150*300*15mm铁方管焗白漆造型花基</t>
    <phoneticPr fontId="8" type="noConversion"/>
  </si>
  <si>
    <t>1.面层：维纳斯灰人造石
2.骨架:50x50x3mm镀锌方通，配镀锌挂件
3.含图纸设计挂贴方式所需一切工序的人材机费</t>
    <phoneticPr fontId="8" type="noConversion"/>
  </si>
  <si>
    <t>1.面层：维纳斯灰人造石
2.骨架:50x50x3mm镀锌方通，配镀锌挂件
3.含图纸设计挂贴方式所需一切工序的人材机费</t>
    <phoneticPr fontId="8" type="noConversion"/>
  </si>
  <si>
    <t>1.2.0mm厚深灰色铝单板包柱
2.详细做法参照图纸</t>
    <phoneticPr fontId="8" type="noConversion"/>
  </si>
  <si>
    <t>1.2.0mm厚深灰色铝单板
2.详细做法参照图纸</t>
    <phoneticPr fontId="8" type="noConversion"/>
  </si>
  <si>
    <t>1.250*330深灰色仿石瓷砖
2.详细做法参照图纸</t>
    <phoneticPr fontId="8" type="noConversion"/>
  </si>
  <si>
    <t>1.轻钢龙骨
2.60*190*2mm木纹造型铝方通
3.按铝方通的长度计量
4.含风口、灯具、检修口等开孔及综合考虑收边收口</t>
    <phoneticPr fontId="8" type="noConversion"/>
  </si>
  <si>
    <t>1.面层：维纳斯灰人造石
2.骨架:50x50x3mm镀锌方通，配镀锌挂件
3.含图纸设计挂贴方式所需一切工序的人材机费</t>
    <phoneticPr fontId="8" type="noConversion"/>
  </si>
  <si>
    <t>1、外框采用50*50*2古铜色拉丝不锈钢方通焊制，
2、内造型格采用20*25*2古铜色拉丝不锈钢方通焊制</t>
    <phoneticPr fontId="8" type="noConversion"/>
  </si>
  <si>
    <t>1.面层：维纳斯灰人造石
2.骨架:50x50x3mm镀锌方通，配镀锌挂件
3.含图纸设计挂贴方式所需一切工序的人材机费</t>
    <phoneticPr fontId="8" type="noConversion"/>
  </si>
  <si>
    <t>1.2.0mm厚深灰色铝单板
2.详细做法参照图纸</t>
    <phoneticPr fontId="8" type="noConversion"/>
  </si>
  <si>
    <t>1.灰色光面外墙砖
2.详细做法参照图纸</t>
    <phoneticPr fontId="8" type="noConversion"/>
  </si>
  <si>
    <t>1.250*330深灰色仿石瓷砖
2.详细做法参照图纸</t>
    <phoneticPr fontId="8" type="noConversion"/>
  </si>
  <si>
    <t>1.规格：1620*2460
2.定制双开复合门
3.含门锁五金</t>
    <phoneticPr fontId="8" type="noConversion"/>
  </si>
  <si>
    <t>1.面层.600*600*1.0mm铝扣板
2.骨架1.0mm厚专用三角龙骨</t>
  </si>
  <si>
    <t>1、主入口门
2.门框料采用70系列，主型材基材壁厚公称尺寸外门不应小于2.2mm，内门不应小于2.0mm
3.12mm钢化清玻
4.含五金门锁，不锈钢门套，含电机（松下）</t>
    <phoneticPr fontId="8" type="noConversion"/>
  </si>
  <si>
    <r>
      <t>请在本栏注明，把顶面铺贴5MM厚灰色耐力板改为（5+5）夹胶玻璃 综合单价</t>
    </r>
    <r>
      <rPr>
        <u/>
        <sz val="11"/>
        <color theme="1"/>
        <rFont val="宋体"/>
        <family val="3"/>
        <charset val="134"/>
        <scheme val="minor"/>
      </rPr>
      <t xml:space="preserve">：      （元/㎡） </t>
    </r>
  </si>
  <si>
    <t>备注：以上甲供瓷砖损耗统一按8%,</t>
    <phoneticPr fontId="8" type="noConversion"/>
  </si>
  <si>
    <t>1.骨架：50x50x3mm镀锌方通
2.基层：9mm阻燃版基层
3.面层：2.0厚木纹色铝合金单板
4.50mm厚白色人造石
5.150*300*15mm铁方管焗白漆造型花基</t>
    <phoneticPr fontId="8" type="noConversion"/>
  </si>
  <si>
    <t>1.规格：L型 900+200
2.上人系列轻钢龙骨
3.18mm阻燃版+8mm硅酸钙板
4.含风口、灯具、检修口等开孔及综合考虑收边收口，详见天大样图DE-16</t>
    <phoneticPr fontId="8" type="noConversion"/>
  </si>
  <si>
    <t>自助餐岛、取餐台、明档、吧台位置为人造石（材料需提供样板经甲方确认后才能进场使用）</t>
    <phoneticPr fontId="8" type="noConversion"/>
  </si>
  <si>
    <t>墙面浅灰色瓷砖，柱面大板砖，瓷砖大板砖主材均由甲方提供（墙面地面柱面材料和颜色具体由甲方和设计确定）；瓷砖切割加工等均由施工方负责</t>
    <phoneticPr fontId="8" type="noConversion"/>
  </si>
  <si>
    <r>
      <t>天棚灯槽
1.规格</t>
    </r>
    <r>
      <rPr>
        <b/>
        <sz val="11"/>
        <rFont val="宋体"/>
        <family val="3"/>
        <charset val="134"/>
        <scheme val="minor"/>
      </rPr>
      <t>：L型300+150+70</t>
    </r>
    <r>
      <rPr>
        <sz val="11"/>
        <rFont val="宋体"/>
        <family val="3"/>
        <charset val="134"/>
        <scheme val="minor"/>
      </rPr>
      <t xml:space="preserve">
2.轻钢龙骨
3.9mm阻燃版+8mm硅酸钙板</t>
    </r>
    <phoneticPr fontId="8" type="noConversion"/>
  </si>
  <si>
    <r>
      <t>1.规格：</t>
    </r>
    <r>
      <rPr>
        <b/>
        <sz val="11"/>
        <color theme="1"/>
        <rFont val="宋体"/>
        <family val="3"/>
        <charset val="134"/>
        <scheme val="minor"/>
      </rPr>
      <t>L型 300+150+70</t>
    </r>
    <r>
      <rPr>
        <sz val="11"/>
        <color theme="1"/>
        <rFont val="宋体"/>
        <family val="3"/>
        <charset val="134"/>
        <scheme val="minor"/>
      </rPr>
      <t xml:space="preserve">
2.轻钢龙骨
3.9mm阻燃版+8mm硅酸钙板
4.详见天大样图DE-16</t>
    </r>
    <phoneticPr fontId="8" type="noConversion"/>
  </si>
  <si>
    <t>1.上人系列轻钢龙骨
2.18mm阻燃版+8mm硅酸钙板
3.规格：L700+200
4.含风口.灯具.检修口等开孔及综合考虑收边收口
5.详见大样图DE-15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</si>
</sst>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u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1" xfId="0" applyFont="1" applyFill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3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" sqref="A2"/>
    </sheetView>
  </sheetViews>
  <sheetFormatPr defaultColWidth="9" defaultRowHeight="30" customHeight="1" x14ac:dyDescent="0.15"/>
  <cols>
    <col min="1" max="1" width="7.375" style="3" customWidth="1"/>
    <col min="2" max="2" width="24.5" style="3" customWidth="1"/>
    <col min="3" max="3" width="9" style="3"/>
    <col min="4" max="4" width="28.625" style="3" customWidth="1"/>
    <col min="5" max="5" width="16.375" style="3" customWidth="1"/>
    <col min="6" max="16384" width="9" style="3"/>
  </cols>
  <sheetData>
    <row r="1" spans="1:5" ht="43.5" customHeight="1" x14ac:dyDescent="0.15">
      <c r="A1" s="74" t="s">
        <v>259</v>
      </c>
      <c r="B1" s="74"/>
      <c r="C1" s="74"/>
      <c r="D1" s="74"/>
      <c r="E1" s="74"/>
    </row>
    <row r="2" spans="1:5" ht="30" customHeight="1" x14ac:dyDescent="0.15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</row>
    <row r="3" spans="1:5" ht="30" customHeight="1" x14ac:dyDescent="0.15">
      <c r="A3" s="42">
        <v>1</v>
      </c>
      <c r="B3" s="5" t="s">
        <v>5</v>
      </c>
      <c r="C3" s="5" t="s">
        <v>6</v>
      </c>
      <c r="D3" s="5"/>
      <c r="E3" s="5"/>
    </row>
    <row r="4" spans="1:5" ht="30" customHeight="1" x14ac:dyDescent="0.15">
      <c r="A4" s="42">
        <v>2</v>
      </c>
      <c r="B4" s="5" t="s">
        <v>7</v>
      </c>
      <c r="C4" s="5" t="s">
        <v>6</v>
      </c>
      <c r="D4" s="5"/>
      <c r="E4" s="5"/>
    </row>
    <row r="5" spans="1:5" ht="30" customHeight="1" x14ac:dyDescent="0.15">
      <c r="A5" s="42">
        <v>3</v>
      </c>
      <c r="B5" s="5" t="s">
        <v>8</v>
      </c>
      <c r="C5" s="5" t="s">
        <v>6</v>
      </c>
      <c r="D5" s="5"/>
      <c r="E5" s="5"/>
    </row>
    <row r="6" spans="1:5" ht="30" customHeight="1" x14ac:dyDescent="0.15">
      <c r="A6" s="42">
        <v>4</v>
      </c>
      <c r="B6" s="5" t="s">
        <v>9</v>
      </c>
      <c r="C6" s="5" t="s">
        <v>6</v>
      </c>
      <c r="D6" s="5"/>
      <c r="E6" s="5"/>
    </row>
    <row r="7" spans="1:5" ht="30" customHeight="1" x14ac:dyDescent="0.15">
      <c r="A7" s="42">
        <v>5</v>
      </c>
      <c r="B7" s="5" t="s">
        <v>10</v>
      </c>
      <c r="C7" s="5" t="s">
        <v>6</v>
      </c>
      <c r="D7" s="5"/>
      <c r="E7" s="5"/>
    </row>
    <row r="8" spans="1:5" ht="30" customHeight="1" x14ac:dyDescent="0.15">
      <c r="A8" s="42">
        <v>6</v>
      </c>
      <c r="B8" s="5" t="s">
        <v>11</v>
      </c>
      <c r="C8" s="5" t="s">
        <v>6</v>
      </c>
      <c r="D8" s="5"/>
      <c r="E8" s="5"/>
    </row>
    <row r="9" spans="1:5" ht="30" customHeight="1" x14ac:dyDescent="0.15">
      <c r="A9" s="42">
        <v>7</v>
      </c>
      <c r="B9" s="5" t="s">
        <v>12</v>
      </c>
      <c r="C9" s="5" t="s">
        <v>6</v>
      </c>
      <c r="D9" s="5"/>
      <c r="E9" s="5"/>
    </row>
    <row r="10" spans="1:5" ht="30" customHeight="1" x14ac:dyDescent="0.15">
      <c r="A10" s="42">
        <v>8</v>
      </c>
      <c r="B10" s="5" t="s">
        <v>13</v>
      </c>
      <c r="C10" s="43">
        <v>0.09</v>
      </c>
      <c r="D10" s="5"/>
      <c r="E10" s="5"/>
    </row>
    <row r="11" spans="1:5" ht="30" customHeight="1" x14ac:dyDescent="0.15">
      <c r="A11" s="42">
        <v>9</v>
      </c>
      <c r="B11" s="5" t="s">
        <v>14</v>
      </c>
      <c r="C11" s="5"/>
      <c r="D11" s="5"/>
      <c r="E11" s="5"/>
    </row>
  </sheetData>
  <mergeCells count="1">
    <mergeCell ref="A1:E1"/>
  </mergeCells>
  <phoneticPr fontId="8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A2" sqref="A2"/>
    </sheetView>
  </sheetViews>
  <sheetFormatPr defaultColWidth="8.875" defaultRowHeight="20.100000000000001" customHeight="1" x14ac:dyDescent="0.15"/>
  <cols>
    <col min="1" max="1" width="5.375" style="25" customWidth="1"/>
    <col min="2" max="2" width="13.5" style="25" customWidth="1"/>
    <col min="3" max="3" width="46.75" style="25" customWidth="1"/>
    <col min="4" max="4" width="6.125" style="25" customWidth="1"/>
    <col min="5" max="5" width="12.75" style="26" customWidth="1"/>
    <col min="6" max="6" width="14.5" style="26" customWidth="1"/>
    <col min="7" max="7" width="14.125" style="26" customWidth="1"/>
    <col min="8" max="8" width="19" style="25" customWidth="1"/>
    <col min="9" max="16384" width="8.875" style="25"/>
  </cols>
  <sheetData>
    <row r="1" spans="1:9" ht="35.1" customHeight="1" x14ac:dyDescent="0.15">
      <c r="A1" s="75" t="s">
        <v>15</v>
      </c>
      <c r="B1" s="75"/>
      <c r="C1" s="75"/>
      <c r="D1" s="75"/>
      <c r="E1" s="75"/>
      <c r="F1" s="75"/>
      <c r="G1" s="75"/>
      <c r="H1" s="75"/>
    </row>
    <row r="2" spans="1:9" ht="29.1" customHeight="1" x14ac:dyDescent="0.15">
      <c r="A2" s="40" t="s">
        <v>0</v>
      </c>
      <c r="B2" s="40" t="s">
        <v>1</v>
      </c>
      <c r="C2" s="40" t="s">
        <v>16</v>
      </c>
      <c r="D2" s="40" t="s">
        <v>2</v>
      </c>
      <c r="E2" s="41" t="s">
        <v>17</v>
      </c>
      <c r="F2" s="41" t="s">
        <v>18</v>
      </c>
      <c r="G2" s="41" t="s">
        <v>19</v>
      </c>
      <c r="H2" s="40" t="s">
        <v>4</v>
      </c>
      <c r="I2" s="25" t="s">
        <v>236</v>
      </c>
    </row>
    <row r="3" spans="1:9" ht="20.100000000000001" customHeight="1" x14ac:dyDescent="0.15">
      <c r="A3" s="27"/>
      <c r="B3" s="27" t="s">
        <v>20</v>
      </c>
      <c r="C3" s="27"/>
      <c r="D3" s="27"/>
      <c r="E3" s="28"/>
      <c r="F3" s="28"/>
      <c r="G3" s="28"/>
      <c r="H3" s="27"/>
    </row>
    <row r="4" spans="1:9" s="23" customFormat="1" ht="81.599999999999994" customHeight="1" x14ac:dyDescent="0.15">
      <c r="A4" s="29">
        <v>1</v>
      </c>
      <c r="B4" s="29" t="s">
        <v>21</v>
      </c>
      <c r="C4" s="45" t="s">
        <v>281</v>
      </c>
      <c r="D4" s="29" t="s">
        <v>23</v>
      </c>
      <c r="E4" s="31">
        <f>41.7*4.2-1.5*2.2*2+(7+7.25)*4.25-1.5*2.2</f>
        <v>225.80250000000001</v>
      </c>
      <c r="F4" s="46"/>
      <c r="G4" s="46"/>
      <c r="H4" s="44"/>
    </row>
    <row r="5" spans="1:9" s="23" customFormat="1" ht="65.099999999999994" customHeight="1" x14ac:dyDescent="0.15">
      <c r="A5" s="29">
        <v>2</v>
      </c>
      <c r="B5" s="29" t="s">
        <v>24</v>
      </c>
      <c r="C5" s="45" t="s">
        <v>266</v>
      </c>
      <c r="D5" s="29" t="s">
        <v>23</v>
      </c>
      <c r="E5" s="31">
        <f>E4*2+61.93</f>
        <v>513.53499999999997</v>
      </c>
      <c r="F5" s="46"/>
      <c r="G5" s="46"/>
      <c r="H5" s="45" t="s">
        <v>26</v>
      </c>
    </row>
    <row r="6" spans="1:9" s="23" customFormat="1" ht="77.099999999999994" customHeight="1" x14ac:dyDescent="0.15">
      <c r="A6" s="29">
        <v>3</v>
      </c>
      <c r="B6" s="29" t="s">
        <v>27</v>
      </c>
      <c r="C6" s="45" t="s">
        <v>28</v>
      </c>
      <c r="D6" s="29" t="s">
        <v>29</v>
      </c>
      <c r="E6" s="31">
        <f>4.2*7*0.2*0.2</f>
        <v>1.1760000000000002</v>
      </c>
      <c r="F6" s="46"/>
      <c r="G6" s="46"/>
      <c r="H6" s="44"/>
    </row>
    <row r="7" spans="1:9" s="23" customFormat="1" ht="77.099999999999994" customHeight="1" x14ac:dyDescent="0.15">
      <c r="A7" s="29">
        <v>4</v>
      </c>
      <c r="B7" s="29" t="s">
        <v>30</v>
      </c>
      <c r="C7" s="45" t="s">
        <v>31</v>
      </c>
      <c r="D7" s="29" t="s">
        <v>29</v>
      </c>
      <c r="E7" s="31">
        <f>(41.7+7+7.25)*0.2*0.2</f>
        <v>2.2380000000000004</v>
      </c>
      <c r="F7" s="46"/>
      <c r="G7" s="46"/>
      <c r="H7" s="44"/>
    </row>
    <row r="8" spans="1:9" ht="20.100000000000001" customHeight="1" x14ac:dyDescent="0.15">
      <c r="A8" s="27"/>
      <c r="B8" s="27" t="s">
        <v>32</v>
      </c>
      <c r="C8" s="27"/>
      <c r="D8" s="27"/>
      <c r="E8" s="28"/>
      <c r="F8" s="28"/>
      <c r="G8" s="28"/>
      <c r="H8" s="27"/>
    </row>
    <row r="9" spans="1:9" s="23" customFormat="1" ht="110.1" customHeight="1" x14ac:dyDescent="0.15">
      <c r="A9" s="29">
        <v>5</v>
      </c>
      <c r="B9" s="29" t="s">
        <v>33</v>
      </c>
      <c r="C9" s="30" t="s">
        <v>267</v>
      </c>
      <c r="D9" s="29" t="s">
        <v>23</v>
      </c>
      <c r="E9" s="31">
        <f>976.39-0.3*9+59.26</f>
        <v>1032.95</v>
      </c>
      <c r="F9" s="31"/>
      <c r="G9" s="31"/>
      <c r="H9" s="29" t="s">
        <v>34</v>
      </c>
    </row>
    <row r="10" spans="1:9" s="23" customFormat="1" ht="104.1" customHeight="1" x14ac:dyDescent="0.15">
      <c r="A10" s="29">
        <v>6</v>
      </c>
      <c r="B10" s="29" t="s">
        <v>35</v>
      </c>
      <c r="C10" s="30" t="s">
        <v>268</v>
      </c>
      <c r="D10" s="29" t="s">
        <v>23</v>
      </c>
      <c r="E10" s="31">
        <f>0.6+0.3+0.6</f>
        <v>1.5</v>
      </c>
      <c r="F10" s="31"/>
      <c r="G10" s="31"/>
      <c r="H10" s="29"/>
    </row>
    <row r="11" spans="1:9" s="23" customFormat="1" ht="20.100000000000001" customHeight="1" x14ac:dyDescent="0.15">
      <c r="A11" s="29"/>
      <c r="B11" s="29" t="s">
        <v>37</v>
      </c>
      <c r="C11" s="29"/>
      <c r="D11" s="29"/>
      <c r="E11" s="31"/>
      <c r="F11" s="31"/>
      <c r="G11" s="31"/>
      <c r="H11" s="29"/>
    </row>
    <row r="12" spans="1:9" s="23" customFormat="1" ht="60.95" customHeight="1" x14ac:dyDescent="0.15">
      <c r="A12" s="29">
        <v>7</v>
      </c>
      <c r="B12" s="33" t="s">
        <v>38</v>
      </c>
      <c r="C12" s="30" t="s">
        <v>282</v>
      </c>
      <c r="D12" s="29" t="s">
        <v>23</v>
      </c>
      <c r="E12" s="31">
        <f>144.5*3</f>
        <v>433.5</v>
      </c>
      <c r="F12" s="31"/>
      <c r="G12" s="31"/>
      <c r="H12" s="29"/>
    </row>
    <row r="13" spans="1:9" s="23" customFormat="1" ht="69.95" customHeight="1" x14ac:dyDescent="0.15">
      <c r="A13" s="29">
        <v>8</v>
      </c>
      <c r="B13" s="29" t="s">
        <v>39</v>
      </c>
      <c r="C13" s="30" t="s">
        <v>283</v>
      </c>
      <c r="D13" s="29" t="s">
        <v>40</v>
      </c>
      <c r="E13" s="31">
        <f>(225+213*2)</f>
        <v>651</v>
      </c>
      <c r="F13" s="31"/>
      <c r="G13" s="31"/>
      <c r="H13" s="33"/>
    </row>
    <row r="14" spans="1:9" s="23" customFormat="1" ht="87" customHeight="1" x14ac:dyDescent="0.15">
      <c r="A14" s="29">
        <v>9</v>
      </c>
      <c r="B14" s="29" t="s">
        <v>41</v>
      </c>
      <c r="C14" s="30" t="s">
        <v>284</v>
      </c>
      <c r="D14" s="29" t="s">
        <v>23</v>
      </c>
      <c r="E14" s="31">
        <f>(976.39-170.16-144.5*3-195.3+(63.06+54.87*3+72.66)*0.6+59.26)*1.3</f>
        <v>541.95439999999996</v>
      </c>
      <c r="F14" s="31"/>
      <c r="G14" s="31"/>
      <c r="H14" s="29"/>
    </row>
    <row r="15" spans="1:9" s="23" customFormat="1" ht="77.099999999999994" customHeight="1" x14ac:dyDescent="0.15">
      <c r="A15" s="29">
        <v>10</v>
      </c>
      <c r="B15" s="29" t="s">
        <v>43</v>
      </c>
      <c r="C15" s="30" t="s">
        <v>44</v>
      </c>
      <c r="D15" s="29" t="s">
        <v>23</v>
      </c>
      <c r="E15" s="31">
        <f>(976.39-170.16-144.5*3-195.3+(63.06+54.87*3+72.66)*0.6+59.26)*1.3</f>
        <v>541.95439999999996</v>
      </c>
      <c r="F15" s="31"/>
      <c r="G15" s="31"/>
      <c r="H15" s="29"/>
    </row>
    <row r="16" spans="1:9" s="23" customFormat="1" ht="68.25" customHeight="1" x14ac:dyDescent="0.15">
      <c r="A16" s="29">
        <v>11</v>
      </c>
      <c r="B16" s="29" t="s">
        <v>45</v>
      </c>
      <c r="C16" s="30" t="s">
        <v>320</v>
      </c>
      <c r="D16" s="29" t="s">
        <v>40</v>
      </c>
      <c r="E16" s="31">
        <v>7.6</v>
      </c>
      <c r="F16" s="31"/>
      <c r="G16" s="31"/>
      <c r="H16" s="29"/>
    </row>
    <row r="17" spans="1:8" s="23" customFormat="1" ht="71.099999999999994" customHeight="1" x14ac:dyDescent="0.15">
      <c r="A17" s="29">
        <v>12</v>
      </c>
      <c r="B17" s="29" t="s">
        <v>263</v>
      </c>
      <c r="C17" s="59" t="s">
        <v>322</v>
      </c>
      <c r="D17" s="29" t="s">
        <v>40</v>
      </c>
      <c r="E17" s="31">
        <f>7+1+7.25+7.5*5+3.95</f>
        <v>56.7</v>
      </c>
      <c r="F17" s="31"/>
      <c r="G17" s="31"/>
      <c r="H17" s="29"/>
    </row>
    <row r="18" spans="1:8" s="23" customFormat="1" ht="104.45" customHeight="1" x14ac:dyDescent="0.15">
      <c r="A18" s="29">
        <v>13</v>
      </c>
      <c r="B18" s="33" t="s">
        <v>47</v>
      </c>
      <c r="C18" s="30" t="s">
        <v>269</v>
      </c>
      <c r="D18" s="29" t="s">
        <v>23</v>
      </c>
      <c r="E18" s="31">
        <f>976.39+157.61*0.8+(7.6*58+7*3.8+6.75*27)*0.7</f>
        <v>1557.2329999999999</v>
      </c>
      <c r="F18" s="31"/>
      <c r="G18" s="31"/>
      <c r="H18" s="29"/>
    </row>
    <row r="19" spans="1:8" ht="20.100000000000001" customHeight="1" x14ac:dyDescent="0.15">
      <c r="A19" s="27"/>
      <c r="B19" s="27" t="s">
        <v>49</v>
      </c>
      <c r="C19" s="27"/>
      <c r="D19" s="27"/>
      <c r="E19" s="28"/>
      <c r="F19" s="28"/>
      <c r="G19" s="28"/>
      <c r="H19" s="27"/>
    </row>
    <row r="20" spans="1:8" s="23" customFormat="1" ht="99.95" customHeight="1" x14ac:dyDescent="0.15">
      <c r="A20" s="29">
        <v>14</v>
      </c>
      <c r="B20" s="29" t="s">
        <v>50</v>
      </c>
      <c r="C20" s="30" t="s">
        <v>264</v>
      </c>
      <c r="D20" s="29" t="s">
        <v>23</v>
      </c>
      <c r="E20" s="31">
        <v>427.16</v>
      </c>
      <c r="F20" s="31"/>
      <c r="G20" s="31"/>
      <c r="H20" s="33"/>
    </row>
    <row r="21" spans="1:8" s="23" customFormat="1" ht="77.099999999999994" customHeight="1" x14ac:dyDescent="0.15">
      <c r="A21" s="29">
        <v>15</v>
      </c>
      <c r="B21" s="29" t="s">
        <v>51</v>
      </c>
      <c r="C21" s="30" t="s">
        <v>52</v>
      </c>
      <c r="D21" s="29" t="s">
        <v>23</v>
      </c>
      <c r="E21" s="31">
        <v>96.25</v>
      </c>
      <c r="F21" s="31"/>
      <c r="G21" s="31"/>
      <c r="H21" s="29"/>
    </row>
    <row r="22" spans="1:8" s="23" customFormat="1" ht="66" customHeight="1" x14ac:dyDescent="0.15">
      <c r="A22" s="29">
        <v>16</v>
      </c>
      <c r="B22" s="33" t="s">
        <v>53</v>
      </c>
      <c r="C22" s="30" t="s">
        <v>265</v>
      </c>
      <c r="D22" s="29" t="s">
        <v>23</v>
      </c>
      <c r="E22" s="31">
        <f>1.1*3.9*7+2.2*3.9*9</f>
        <v>107.25</v>
      </c>
      <c r="F22" s="31"/>
      <c r="G22" s="31"/>
      <c r="H22" s="29"/>
    </row>
    <row r="23" spans="1:8" s="23" customFormat="1" ht="65.099999999999994" customHeight="1" x14ac:dyDescent="0.15">
      <c r="A23" s="29">
        <v>17</v>
      </c>
      <c r="B23" s="33" t="s">
        <v>54</v>
      </c>
      <c r="C23" s="30" t="s">
        <v>270</v>
      </c>
      <c r="D23" s="29" t="s">
        <v>40</v>
      </c>
      <c r="E23" s="31">
        <f>1.1*7+2.2*9</f>
        <v>27.5</v>
      </c>
      <c r="F23" s="31"/>
      <c r="G23" s="31"/>
      <c r="H23" s="29"/>
    </row>
    <row r="24" spans="1:8" s="23" customFormat="1" ht="65.099999999999994" customHeight="1" x14ac:dyDescent="0.15">
      <c r="A24" s="29">
        <v>18</v>
      </c>
      <c r="B24" s="33" t="s">
        <v>55</v>
      </c>
      <c r="C24" s="30" t="s">
        <v>271</v>
      </c>
      <c r="D24" s="29" t="s">
        <v>40</v>
      </c>
      <c r="E24" s="31">
        <f>1.1*7+2.2*9</f>
        <v>27.5</v>
      </c>
      <c r="F24" s="31"/>
      <c r="G24" s="31"/>
      <c r="H24" s="29"/>
    </row>
    <row r="25" spans="1:8" s="23" customFormat="1" ht="60" customHeight="1" x14ac:dyDescent="0.15">
      <c r="A25" s="29">
        <v>19</v>
      </c>
      <c r="B25" s="33" t="s">
        <v>56</v>
      </c>
      <c r="C25" s="30" t="s">
        <v>57</v>
      </c>
      <c r="D25" s="29" t="s">
        <v>23</v>
      </c>
      <c r="E25" s="31">
        <f>1.5*1.6*3</f>
        <v>7.2000000000000011</v>
      </c>
      <c r="F25" s="31"/>
      <c r="G25" s="31"/>
      <c r="H25" s="29"/>
    </row>
    <row r="26" spans="1:8" s="23" customFormat="1" ht="44.1" customHeight="1" x14ac:dyDescent="0.15">
      <c r="A26" s="29">
        <v>20</v>
      </c>
      <c r="B26" s="33" t="s">
        <v>58</v>
      </c>
      <c r="C26" s="30" t="s">
        <v>59</v>
      </c>
      <c r="D26" s="29" t="s">
        <v>23</v>
      </c>
      <c r="E26" s="31">
        <f>1.5*2.4*3</f>
        <v>10.799999999999999</v>
      </c>
      <c r="F26" s="31"/>
      <c r="G26" s="31"/>
      <c r="H26" s="29" t="s">
        <v>60</v>
      </c>
    </row>
    <row r="27" spans="1:8" s="23" customFormat="1" ht="56.45" customHeight="1" x14ac:dyDescent="0.15">
      <c r="A27" s="29">
        <v>21</v>
      </c>
      <c r="B27" s="29" t="s">
        <v>280</v>
      </c>
      <c r="C27" s="30" t="s">
        <v>292</v>
      </c>
      <c r="D27" s="29" t="s">
        <v>40</v>
      </c>
      <c r="E27" s="31">
        <v>11.7</v>
      </c>
      <c r="F27" s="31"/>
      <c r="G27" s="31"/>
      <c r="H27" s="29"/>
    </row>
    <row r="28" spans="1:8" s="23" customFormat="1" ht="55.5" customHeight="1" x14ac:dyDescent="0.15">
      <c r="A28" s="29">
        <v>22</v>
      </c>
      <c r="B28" s="60" t="s">
        <v>293</v>
      </c>
      <c r="C28" s="59" t="s">
        <v>296</v>
      </c>
      <c r="D28" s="47" t="s">
        <v>40</v>
      </c>
      <c r="E28" s="61">
        <v>5</v>
      </c>
      <c r="F28" s="31"/>
      <c r="G28" s="31"/>
      <c r="H28" s="29"/>
    </row>
    <row r="29" spans="1:8" s="23" customFormat="1" ht="53.45" customHeight="1" x14ac:dyDescent="0.15">
      <c r="A29" s="29">
        <v>23</v>
      </c>
      <c r="B29" s="60" t="s">
        <v>61</v>
      </c>
      <c r="C29" s="59" t="s">
        <v>295</v>
      </c>
      <c r="D29" s="47" t="s">
        <v>40</v>
      </c>
      <c r="E29" s="61">
        <v>7.8</v>
      </c>
      <c r="F29" s="31"/>
      <c r="G29" s="31"/>
      <c r="H29" s="29"/>
    </row>
    <row r="30" spans="1:8" s="23" customFormat="1" ht="41.1" customHeight="1" x14ac:dyDescent="0.15">
      <c r="A30" s="29">
        <v>24</v>
      </c>
      <c r="B30" s="58" t="s">
        <v>62</v>
      </c>
      <c r="C30" s="30" t="s">
        <v>297</v>
      </c>
      <c r="D30" s="29" t="s">
        <v>40</v>
      </c>
      <c r="E30" s="31">
        <v>3.95</v>
      </c>
      <c r="F30" s="31"/>
      <c r="G30" s="31"/>
      <c r="H30" s="29" t="s">
        <v>63</v>
      </c>
    </row>
    <row r="31" spans="1:8" s="23" customFormat="1" ht="97.5" customHeight="1" x14ac:dyDescent="0.15">
      <c r="A31" s="29">
        <v>25</v>
      </c>
      <c r="B31" s="33" t="s">
        <v>64</v>
      </c>
      <c r="C31" s="30" t="s">
        <v>294</v>
      </c>
      <c r="D31" s="29" t="s">
        <v>40</v>
      </c>
      <c r="E31" s="31">
        <f>1.5+1.5+3.71+3.5+3.2+3.2+1.4+1.4+1.4+1+1+1+1+2+1.95</f>
        <v>28.759999999999994</v>
      </c>
      <c r="F31" s="31"/>
      <c r="G31" s="31"/>
      <c r="H31" s="29"/>
    </row>
    <row r="32" spans="1:8" s="23" customFormat="1" ht="78.599999999999994" customHeight="1" x14ac:dyDescent="0.15">
      <c r="A32" s="29">
        <v>26</v>
      </c>
      <c r="B32" s="33" t="s">
        <v>65</v>
      </c>
      <c r="C32" s="30" t="s">
        <v>316</v>
      </c>
      <c r="D32" s="29" t="s">
        <v>40</v>
      </c>
      <c r="E32" s="31">
        <f>4.8*3+4+5.1+3.2+3.2</f>
        <v>29.9</v>
      </c>
      <c r="F32" s="31"/>
      <c r="G32" s="31"/>
      <c r="H32" s="29"/>
    </row>
    <row r="33" spans="1:8" s="23" customFormat="1" ht="95.1" customHeight="1" x14ac:dyDescent="0.15">
      <c r="A33" s="29">
        <v>27</v>
      </c>
      <c r="B33" s="33" t="s">
        <v>66</v>
      </c>
      <c r="C33" s="30" t="s">
        <v>298</v>
      </c>
      <c r="D33" s="29" t="s">
        <v>40</v>
      </c>
      <c r="E33" s="31">
        <v>9.5</v>
      </c>
      <c r="F33" s="31"/>
      <c r="G33" s="31"/>
      <c r="H33" s="29"/>
    </row>
    <row r="34" spans="1:8" s="23" customFormat="1" ht="78.95" customHeight="1" x14ac:dyDescent="0.15">
      <c r="A34" s="29">
        <v>28</v>
      </c>
      <c r="B34" s="33" t="s">
        <v>67</v>
      </c>
      <c r="C34" s="30" t="s">
        <v>285</v>
      </c>
      <c r="D34" s="29" t="s">
        <v>40</v>
      </c>
      <c r="E34" s="31">
        <f>4*4</f>
        <v>16</v>
      </c>
      <c r="F34" s="31"/>
      <c r="G34" s="31"/>
      <c r="H34" s="29"/>
    </row>
    <row r="35" spans="1:8" s="23" customFormat="1" ht="54.6" customHeight="1" x14ac:dyDescent="0.15">
      <c r="A35" s="29">
        <v>29</v>
      </c>
      <c r="B35" s="29" t="s">
        <v>68</v>
      </c>
      <c r="C35" s="30" t="s">
        <v>299</v>
      </c>
      <c r="D35" s="29" t="s">
        <v>40</v>
      </c>
      <c r="E35" s="31">
        <v>11.1</v>
      </c>
      <c r="F35" s="31"/>
      <c r="G35" s="31"/>
      <c r="H35" s="29"/>
    </row>
    <row r="36" spans="1:8" s="23" customFormat="1" ht="60" customHeight="1" x14ac:dyDescent="0.15">
      <c r="A36" s="29">
        <v>30</v>
      </c>
      <c r="B36" s="29" t="s">
        <v>69</v>
      </c>
      <c r="C36" s="30" t="s">
        <v>300</v>
      </c>
      <c r="D36" s="29" t="s">
        <v>40</v>
      </c>
      <c r="E36" s="31">
        <v>11.5</v>
      </c>
      <c r="F36" s="31"/>
      <c r="G36" s="31"/>
      <c r="H36" s="29"/>
    </row>
    <row r="37" spans="1:8" s="24" customFormat="1" ht="39.950000000000003" customHeight="1" x14ac:dyDescent="0.15">
      <c r="A37" s="29">
        <v>31</v>
      </c>
      <c r="B37" s="33" t="s">
        <v>70</v>
      </c>
      <c r="C37" s="30" t="s">
        <v>301</v>
      </c>
      <c r="D37" s="29" t="s">
        <v>23</v>
      </c>
      <c r="E37" s="31">
        <f>1.33*4.85*8</f>
        <v>51.603999999999999</v>
      </c>
      <c r="F37" s="31"/>
      <c r="G37" s="31"/>
      <c r="H37" s="30" t="s">
        <v>71</v>
      </c>
    </row>
    <row r="38" spans="1:8" s="24" customFormat="1" ht="39.950000000000003" customHeight="1" x14ac:dyDescent="0.15">
      <c r="A38" s="29">
        <v>32</v>
      </c>
      <c r="B38" s="29" t="s">
        <v>72</v>
      </c>
      <c r="C38" s="30" t="s">
        <v>302</v>
      </c>
      <c r="D38" s="29" t="s">
        <v>23</v>
      </c>
      <c r="E38" s="31">
        <f>38.06+1.71</f>
        <v>39.770000000000003</v>
      </c>
      <c r="F38" s="31"/>
      <c r="G38" s="31"/>
      <c r="H38" s="30" t="s">
        <v>73</v>
      </c>
    </row>
    <row r="39" spans="1:8" s="24" customFormat="1" ht="39.950000000000003" customHeight="1" x14ac:dyDescent="0.15">
      <c r="A39" s="29">
        <v>33</v>
      </c>
      <c r="B39" s="29" t="s">
        <v>74</v>
      </c>
      <c r="C39" s="30" t="s">
        <v>286</v>
      </c>
      <c r="D39" s="29" t="s">
        <v>23</v>
      </c>
      <c r="E39" s="31">
        <v>9.1999999999999993</v>
      </c>
      <c r="F39" s="31"/>
      <c r="G39" s="31"/>
      <c r="H39" s="29"/>
    </row>
    <row r="40" spans="1:8" s="24" customFormat="1" ht="39.950000000000003" customHeight="1" x14ac:dyDescent="0.15">
      <c r="A40" s="29">
        <v>34</v>
      </c>
      <c r="B40" s="29" t="s">
        <v>75</v>
      </c>
      <c r="C40" s="30" t="s">
        <v>303</v>
      </c>
      <c r="D40" s="29" t="s">
        <v>23</v>
      </c>
      <c r="E40" s="31">
        <v>20.16</v>
      </c>
      <c r="F40" s="31"/>
      <c r="G40" s="31"/>
      <c r="H40" s="29"/>
    </row>
    <row r="41" spans="1:8" s="39" customFormat="1" ht="20.100000000000001" customHeight="1" x14ac:dyDescent="0.15">
      <c r="A41" s="27"/>
      <c r="B41" s="27" t="s">
        <v>76</v>
      </c>
      <c r="C41" s="27"/>
      <c r="D41" s="27"/>
      <c r="E41" s="28"/>
      <c r="F41" s="28"/>
      <c r="G41" s="28"/>
      <c r="H41" s="27"/>
    </row>
    <row r="42" spans="1:8" s="23" customFormat="1" ht="63.95" customHeight="1" x14ac:dyDescent="0.15">
      <c r="A42" s="29">
        <v>35</v>
      </c>
      <c r="B42" s="29" t="s">
        <v>79</v>
      </c>
      <c r="C42" s="30" t="s">
        <v>287</v>
      </c>
      <c r="D42" s="29" t="s">
        <v>23</v>
      </c>
      <c r="E42" s="31">
        <f>1.5*2.2*2</f>
        <v>6.6000000000000005</v>
      </c>
      <c r="F42" s="31"/>
      <c r="G42" s="31"/>
      <c r="H42" s="30" t="s">
        <v>60</v>
      </c>
    </row>
    <row r="43" spans="1:8" s="23" customFormat="1" ht="63.95" customHeight="1" x14ac:dyDescent="0.15">
      <c r="A43" s="29">
        <v>36</v>
      </c>
      <c r="B43" s="32" t="s">
        <v>80</v>
      </c>
      <c r="C43" s="30" t="s">
        <v>288</v>
      </c>
      <c r="D43" s="29" t="s">
        <v>23</v>
      </c>
      <c r="E43" s="31">
        <f>1.8*2.4+4*3.3</f>
        <v>17.52</v>
      </c>
      <c r="F43" s="31"/>
      <c r="G43" s="31"/>
      <c r="H43" s="30" t="s">
        <v>81</v>
      </c>
    </row>
    <row r="44" spans="1:8" s="23" customFormat="1" ht="87" customHeight="1" x14ac:dyDescent="0.15">
      <c r="A44" s="29">
        <v>37</v>
      </c>
      <c r="B44" s="33" t="s">
        <v>82</v>
      </c>
      <c r="C44" s="30" t="s">
        <v>289</v>
      </c>
      <c r="D44" s="29" t="s">
        <v>23</v>
      </c>
      <c r="E44" s="31">
        <f>7.5*4</f>
        <v>30</v>
      </c>
      <c r="F44" s="31"/>
      <c r="G44" s="31"/>
      <c r="H44" s="30" t="s">
        <v>83</v>
      </c>
    </row>
    <row r="45" spans="1:8" s="23" customFormat="1" ht="60.6" customHeight="1" x14ac:dyDescent="0.15">
      <c r="A45" s="29">
        <v>38</v>
      </c>
      <c r="B45" s="29" t="s">
        <v>84</v>
      </c>
      <c r="C45" s="30" t="s">
        <v>290</v>
      </c>
      <c r="D45" s="29" t="s">
        <v>23</v>
      </c>
      <c r="E45" s="31">
        <f>7.5*3.8*4+7.25*3.8+3.95*3.8+3.2*1.8*4+2.9*6.9+2.9*1.95*2</f>
        <v>210.92</v>
      </c>
      <c r="F45" s="31"/>
      <c r="G45" s="31"/>
      <c r="H45" s="30" t="s">
        <v>85</v>
      </c>
    </row>
    <row r="46" spans="1:8" s="23" customFormat="1" ht="95.1" customHeight="1" x14ac:dyDescent="0.15">
      <c r="A46" s="29">
        <v>39</v>
      </c>
      <c r="B46" s="29" t="s">
        <v>86</v>
      </c>
      <c r="C46" s="30" t="s">
        <v>291</v>
      </c>
      <c r="D46" s="29" t="s">
        <v>23</v>
      </c>
      <c r="E46" s="31">
        <f>56*2.5</f>
        <v>140</v>
      </c>
      <c r="F46" s="31"/>
      <c r="G46" s="31"/>
      <c r="H46" s="30" t="s">
        <v>88</v>
      </c>
    </row>
    <row r="47" spans="1:8" ht="20.100000000000001" customHeight="1" x14ac:dyDescent="0.15">
      <c r="A47" s="27"/>
      <c r="B47" s="27" t="s">
        <v>89</v>
      </c>
      <c r="C47" s="27"/>
      <c r="D47" s="27"/>
      <c r="E47" s="28"/>
      <c r="F47" s="28"/>
      <c r="G47" s="28"/>
      <c r="H47" s="27"/>
    </row>
    <row r="48" spans="1:8" ht="33.950000000000003" customHeight="1" x14ac:dyDescent="0.15">
      <c r="A48" s="76" t="s">
        <v>315</v>
      </c>
      <c r="B48" s="76"/>
      <c r="C48" s="76"/>
      <c r="D48" s="76"/>
      <c r="E48" s="76"/>
      <c r="F48" s="76"/>
      <c r="G48" s="76"/>
      <c r="H48" s="76"/>
    </row>
  </sheetData>
  <autoFilter ref="A2:I47"/>
  <mergeCells count="2">
    <mergeCell ref="A1:H1"/>
    <mergeCell ref="A48:H48"/>
  </mergeCells>
  <phoneticPr fontId="8" type="noConversion"/>
  <pageMargins left="0.75" right="0.75" top="1" bottom="1" header="0.5" footer="0.5"/>
  <pageSetup paperSize="9" orientation="portrait" horizont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2" sqref="A2:XFD2"/>
    </sheetView>
  </sheetViews>
  <sheetFormatPr defaultColWidth="8.875" defaultRowHeight="20.100000000000001" customHeight="1" x14ac:dyDescent="0.15"/>
  <cols>
    <col min="1" max="1" width="7.125" style="3" customWidth="1"/>
    <col min="2" max="2" width="15" style="34" customWidth="1"/>
    <col min="3" max="3" width="46.875" style="3" customWidth="1"/>
    <col min="4" max="4" width="8.875" style="3"/>
    <col min="5" max="5" width="10.375" style="4"/>
    <col min="6" max="6" width="10.5" style="4" customWidth="1"/>
    <col min="7" max="7" width="10" style="4" customWidth="1"/>
    <col min="8" max="8" width="17.75" style="3" customWidth="1"/>
    <col min="9" max="16384" width="8.875" style="3"/>
  </cols>
  <sheetData>
    <row r="1" spans="1:8" ht="33" customHeight="1" x14ac:dyDescent="0.15">
      <c r="A1" s="75" t="s">
        <v>90</v>
      </c>
      <c r="B1" s="75"/>
      <c r="C1" s="75"/>
      <c r="D1" s="75"/>
      <c r="E1" s="75"/>
      <c r="F1" s="75"/>
      <c r="G1" s="75"/>
      <c r="H1" s="75"/>
    </row>
    <row r="2" spans="1:8" ht="20.100000000000001" customHeight="1" x14ac:dyDescent="0.15">
      <c r="A2" s="5" t="s">
        <v>0</v>
      </c>
      <c r="B2" s="35" t="s">
        <v>1</v>
      </c>
      <c r="C2" s="5" t="s">
        <v>16</v>
      </c>
      <c r="D2" s="5" t="s">
        <v>2</v>
      </c>
      <c r="E2" s="6" t="s">
        <v>17</v>
      </c>
      <c r="F2" s="6" t="s">
        <v>18</v>
      </c>
      <c r="G2" s="6" t="s">
        <v>19</v>
      </c>
      <c r="H2" s="5" t="s">
        <v>4</v>
      </c>
    </row>
    <row r="3" spans="1:8" ht="20.100000000000001" customHeight="1" x14ac:dyDescent="0.15">
      <c r="A3" s="7"/>
      <c r="B3" s="36" t="s">
        <v>91</v>
      </c>
      <c r="C3" s="7"/>
      <c r="D3" s="7"/>
      <c r="E3" s="8"/>
      <c r="F3" s="8"/>
      <c r="G3" s="8"/>
      <c r="H3" s="7"/>
    </row>
    <row r="4" spans="1:8" ht="95.1" customHeight="1" x14ac:dyDescent="0.15">
      <c r="A4" s="9">
        <v>1</v>
      </c>
      <c r="B4" s="37" t="s">
        <v>92</v>
      </c>
      <c r="C4" s="10" t="s">
        <v>93</v>
      </c>
      <c r="D4" s="9" t="s">
        <v>94</v>
      </c>
      <c r="E4" s="11">
        <v>1</v>
      </c>
      <c r="F4" s="11"/>
      <c r="G4" s="11"/>
      <c r="H4" s="9"/>
    </row>
    <row r="5" spans="1:8" ht="95.1" customHeight="1" x14ac:dyDescent="0.15">
      <c r="A5" s="9">
        <v>2</v>
      </c>
      <c r="B5" s="37" t="s">
        <v>95</v>
      </c>
      <c r="C5" s="10" t="s">
        <v>93</v>
      </c>
      <c r="D5" s="9" t="s">
        <v>94</v>
      </c>
      <c r="E5" s="11">
        <v>1</v>
      </c>
      <c r="F5" s="11"/>
      <c r="G5" s="11"/>
      <c r="H5" s="9"/>
    </row>
    <row r="6" spans="1:8" ht="95.1" customHeight="1" x14ac:dyDescent="0.15">
      <c r="A6" s="9">
        <v>3</v>
      </c>
      <c r="B6" s="37" t="s">
        <v>96</v>
      </c>
      <c r="C6" s="10" t="s">
        <v>93</v>
      </c>
      <c r="D6" s="9" t="s">
        <v>94</v>
      </c>
      <c r="E6" s="11">
        <v>1</v>
      </c>
      <c r="F6" s="11"/>
      <c r="G6" s="11"/>
      <c r="H6" s="9"/>
    </row>
    <row r="7" spans="1:8" ht="95.1" customHeight="1" x14ac:dyDescent="0.15">
      <c r="A7" s="9">
        <v>4</v>
      </c>
      <c r="B7" s="37" t="s">
        <v>97</v>
      </c>
      <c r="C7" s="10" t="s">
        <v>93</v>
      </c>
      <c r="D7" s="9" t="s">
        <v>94</v>
      </c>
      <c r="E7" s="11">
        <v>1</v>
      </c>
      <c r="F7" s="11"/>
      <c r="G7" s="11"/>
      <c r="H7" s="9"/>
    </row>
    <row r="8" spans="1:8" ht="95.1" customHeight="1" x14ac:dyDescent="0.15">
      <c r="A8" s="9">
        <v>5</v>
      </c>
      <c r="B8" s="37" t="s">
        <v>98</v>
      </c>
      <c r="C8" s="10" t="s">
        <v>93</v>
      </c>
      <c r="D8" s="9" t="s">
        <v>94</v>
      </c>
      <c r="E8" s="11">
        <v>1</v>
      </c>
      <c r="F8" s="11"/>
      <c r="G8" s="11"/>
      <c r="H8" s="9"/>
    </row>
    <row r="9" spans="1:8" ht="105" customHeight="1" x14ac:dyDescent="0.15">
      <c r="A9" s="9">
        <v>6</v>
      </c>
      <c r="B9" s="38" t="s">
        <v>99</v>
      </c>
      <c r="C9" s="13" t="s">
        <v>100</v>
      </c>
      <c r="D9" s="5" t="s">
        <v>40</v>
      </c>
      <c r="E9" s="6">
        <v>93.4</v>
      </c>
      <c r="F9" s="6"/>
      <c r="G9" s="6"/>
      <c r="H9" s="5"/>
    </row>
    <row r="10" spans="1:8" ht="105" customHeight="1" x14ac:dyDescent="0.15">
      <c r="A10" s="9">
        <v>7</v>
      </c>
      <c r="B10" s="38" t="s">
        <v>101</v>
      </c>
      <c r="C10" s="13" t="s">
        <v>102</v>
      </c>
      <c r="D10" s="13" t="s">
        <v>40</v>
      </c>
      <c r="E10" s="13">
        <v>8</v>
      </c>
      <c r="F10" s="6"/>
      <c r="G10" s="6"/>
      <c r="H10" s="5"/>
    </row>
    <row r="11" spans="1:8" ht="105" customHeight="1" x14ac:dyDescent="0.15">
      <c r="A11" s="9">
        <v>8</v>
      </c>
      <c r="B11" s="38" t="s">
        <v>103</v>
      </c>
      <c r="C11" s="13" t="s">
        <v>104</v>
      </c>
      <c r="D11" s="13" t="s">
        <v>40</v>
      </c>
      <c r="E11" s="13">
        <v>51.24</v>
      </c>
      <c r="F11" s="6"/>
      <c r="G11" s="6"/>
      <c r="H11" s="5"/>
    </row>
    <row r="12" spans="1:8" ht="105" customHeight="1" x14ac:dyDescent="0.15">
      <c r="A12" s="9">
        <v>9</v>
      </c>
      <c r="B12" s="38" t="s">
        <v>105</v>
      </c>
      <c r="C12" s="13" t="s">
        <v>106</v>
      </c>
      <c r="D12" s="13" t="s">
        <v>40</v>
      </c>
      <c r="E12" s="13">
        <v>52.02</v>
      </c>
      <c r="F12" s="6"/>
      <c r="G12" s="6"/>
      <c r="H12" s="5"/>
    </row>
    <row r="13" spans="1:8" ht="105" customHeight="1" x14ac:dyDescent="0.15">
      <c r="A13" s="9">
        <v>10</v>
      </c>
      <c r="B13" s="38" t="s">
        <v>107</v>
      </c>
      <c r="C13" s="13" t="s">
        <v>108</v>
      </c>
      <c r="D13" s="13" t="s">
        <v>40</v>
      </c>
      <c r="E13" s="13">
        <v>219.64</v>
      </c>
      <c r="F13" s="6"/>
      <c r="G13" s="6"/>
      <c r="H13" s="5"/>
    </row>
    <row r="14" spans="1:8" ht="105" customHeight="1" x14ac:dyDescent="0.15">
      <c r="A14" s="9">
        <v>11</v>
      </c>
      <c r="B14" s="38" t="s">
        <v>109</v>
      </c>
      <c r="C14" s="13" t="s">
        <v>110</v>
      </c>
      <c r="D14" s="13" t="s">
        <v>40</v>
      </c>
      <c r="E14" s="13">
        <v>25.32</v>
      </c>
      <c r="F14" s="6"/>
      <c r="G14" s="6"/>
      <c r="H14" s="5"/>
    </row>
    <row r="15" spans="1:8" ht="84.95" customHeight="1" x14ac:dyDescent="0.15">
      <c r="A15" s="9">
        <v>12</v>
      </c>
      <c r="B15" s="38" t="s">
        <v>111</v>
      </c>
      <c r="C15" s="13" t="s">
        <v>112</v>
      </c>
      <c r="D15" s="5" t="s">
        <v>40</v>
      </c>
      <c r="E15" s="6">
        <f>574.83+319.01+1503.98+(35.44+4.6+3+16.7+17.85+21.84+13.5+17.85+16.7+17.14+5.63+7.16+12.54)</f>
        <v>2587.77</v>
      </c>
      <c r="F15" s="6"/>
      <c r="G15" s="6"/>
      <c r="H15" s="5"/>
    </row>
    <row r="16" spans="1:8" ht="84.95" customHeight="1" x14ac:dyDescent="0.15">
      <c r="A16" s="9">
        <v>13</v>
      </c>
      <c r="B16" s="38" t="s">
        <v>113</v>
      </c>
      <c r="C16" s="13" t="s">
        <v>112</v>
      </c>
      <c r="D16" s="5" t="s">
        <v>40</v>
      </c>
      <c r="E16" s="6">
        <v>428.33</v>
      </c>
      <c r="F16" s="6"/>
      <c r="G16" s="6"/>
      <c r="H16" s="5"/>
    </row>
    <row r="17" spans="1:8" ht="80.099999999999994" customHeight="1" x14ac:dyDescent="0.15">
      <c r="A17" s="9">
        <v>14</v>
      </c>
      <c r="B17" s="35" t="s">
        <v>114</v>
      </c>
      <c r="C17" s="13" t="s">
        <v>115</v>
      </c>
      <c r="D17" s="5" t="s">
        <v>40</v>
      </c>
      <c r="E17" s="6">
        <v>448.8</v>
      </c>
      <c r="F17" s="6"/>
      <c r="G17" s="6"/>
      <c r="H17" s="5"/>
    </row>
    <row r="18" spans="1:8" ht="42" customHeight="1" x14ac:dyDescent="0.15">
      <c r="A18" s="9">
        <v>15</v>
      </c>
      <c r="B18" s="38" t="s">
        <v>116</v>
      </c>
      <c r="C18" s="13" t="s">
        <v>117</v>
      </c>
      <c r="D18" s="5" t="s">
        <v>40</v>
      </c>
      <c r="E18" s="6">
        <f>1724.49+33.6+957.03+180+2692.8+4511.94+719.07++(35.44+4.6+3+16.7+17.85+21.84+13.5+17.85+16.7+17.14+5.63+7.16+12.54+18.2+25.41+34.16+50.21)*3</f>
        <v>11772.72</v>
      </c>
      <c r="F18" s="6"/>
      <c r="G18" s="6"/>
      <c r="H18" s="5"/>
    </row>
    <row r="19" spans="1:8" ht="42" customHeight="1" x14ac:dyDescent="0.15">
      <c r="A19" s="9">
        <v>16</v>
      </c>
      <c r="B19" s="38" t="s">
        <v>118</v>
      </c>
      <c r="C19" s="13" t="s">
        <v>119</v>
      </c>
      <c r="D19" s="5" t="s">
        <v>40</v>
      </c>
      <c r="E19" s="6">
        <f>2270.59+1446.26+49.2</f>
        <v>3766.05</v>
      </c>
      <c r="F19" s="6"/>
      <c r="G19" s="6"/>
      <c r="H19" s="5"/>
    </row>
    <row r="20" spans="1:8" ht="80.099999999999994" customHeight="1" x14ac:dyDescent="0.15">
      <c r="A20" s="9">
        <v>17</v>
      </c>
      <c r="B20" s="35" t="s">
        <v>120</v>
      </c>
      <c r="C20" s="10" t="s">
        <v>121</v>
      </c>
      <c r="D20" s="5" t="s">
        <v>122</v>
      </c>
      <c r="E20" s="6">
        <v>2</v>
      </c>
      <c r="F20" s="6"/>
      <c r="G20" s="6"/>
      <c r="H20" s="5"/>
    </row>
    <row r="21" spans="1:8" ht="80.099999999999994" customHeight="1" x14ac:dyDescent="0.15">
      <c r="A21" s="9">
        <v>18</v>
      </c>
      <c r="B21" s="35" t="s">
        <v>123</v>
      </c>
      <c r="C21" s="10" t="s">
        <v>121</v>
      </c>
      <c r="D21" s="5" t="s">
        <v>122</v>
      </c>
      <c r="E21" s="6">
        <v>18</v>
      </c>
      <c r="F21" s="6"/>
      <c r="G21" s="6"/>
      <c r="H21" s="5"/>
    </row>
    <row r="22" spans="1:8" ht="80.099999999999994" customHeight="1" x14ac:dyDescent="0.15">
      <c r="A22" s="9">
        <v>19</v>
      </c>
      <c r="B22" s="35" t="s">
        <v>124</v>
      </c>
      <c r="C22" s="10" t="s">
        <v>121</v>
      </c>
      <c r="D22" s="5" t="s">
        <v>122</v>
      </c>
      <c r="E22" s="6">
        <v>36</v>
      </c>
      <c r="F22" s="6"/>
      <c r="G22" s="6"/>
      <c r="H22" s="5"/>
    </row>
    <row r="23" spans="1:8" ht="90" customHeight="1" x14ac:dyDescent="0.15">
      <c r="A23" s="9">
        <v>20</v>
      </c>
      <c r="B23" s="35" t="s">
        <v>125</v>
      </c>
      <c r="C23" s="13" t="s">
        <v>126</v>
      </c>
      <c r="D23" s="5" t="s">
        <v>122</v>
      </c>
      <c r="E23" s="6">
        <v>44</v>
      </c>
      <c r="F23" s="6"/>
      <c r="G23" s="6"/>
      <c r="H23" s="5"/>
    </row>
    <row r="24" spans="1:8" ht="101.1" customHeight="1" x14ac:dyDescent="0.15">
      <c r="A24" s="9">
        <v>21</v>
      </c>
      <c r="B24" s="35" t="s">
        <v>127</v>
      </c>
      <c r="C24" s="10" t="s">
        <v>128</v>
      </c>
      <c r="D24" s="5" t="s">
        <v>122</v>
      </c>
      <c r="E24" s="6">
        <v>10</v>
      </c>
      <c r="F24" s="6"/>
      <c r="G24" s="6"/>
      <c r="H24" s="5"/>
    </row>
    <row r="25" spans="1:8" s="1" customFormat="1" ht="81" customHeight="1" x14ac:dyDescent="0.15">
      <c r="A25" s="9">
        <v>22</v>
      </c>
      <c r="B25" s="35" t="s">
        <v>129</v>
      </c>
      <c r="C25" s="10" t="s">
        <v>130</v>
      </c>
      <c r="D25" s="5" t="s">
        <v>122</v>
      </c>
      <c r="E25" s="6">
        <v>41</v>
      </c>
      <c r="F25" s="6"/>
      <c r="G25" s="6"/>
      <c r="H25" s="5"/>
    </row>
    <row r="26" spans="1:8" ht="101.1" customHeight="1" x14ac:dyDescent="0.15">
      <c r="A26" s="9">
        <v>23</v>
      </c>
      <c r="B26" s="35" t="s">
        <v>131</v>
      </c>
      <c r="C26" s="10" t="s">
        <v>132</v>
      </c>
      <c r="D26" s="5" t="s">
        <v>122</v>
      </c>
      <c r="E26" s="6">
        <v>132</v>
      </c>
      <c r="F26" s="6"/>
      <c r="G26" s="6"/>
      <c r="H26" s="5"/>
    </row>
    <row r="27" spans="1:8" ht="101.1" customHeight="1" x14ac:dyDescent="0.15">
      <c r="A27" s="9">
        <v>24</v>
      </c>
      <c r="B27" s="35" t="s">
        <v>133</v>
      </c>
      <c r="C27" s="10" t="s">
        <v>134</v>
      </c>
      <c r="D27" s="5" t="s">
        <v>122</v>
      </c>
      <c r="E27" s="6">
        <v>215</v>
      </c>
      <c r="F27" s="6"/>
      <c r="G27" s="6"/>
      <c r="H27" s="5"/>
    </row>
    <row r="28" spans="1:8" s="2" customFormat="1" ht="81" customHeight="1" x14ac:dyDescent="0.15">
      <c r="A28" s="9">
        <v>25</v>
      </c>
      <c r="B28" s="37" t="s">
        <v>135</v>
      </c>
      <c r="C28" s="10" t="s">
        <v>136</v>
      </c>
      <c r="D28" s="9" t="s">
        <v>40</v>
      </c>
      <c r="E28" s="11">
        <v>7.6</v>
      </c>
      <c r="F28" s="11"/>
      <c r="G28" s="11"/>
      <c r="H28" s="9"/>
    </row>
    <row r="29" spans="1:8" s="2" customFormat="1" ht="81" customHeight="1" x14ac:dyDescent="0.15">
      <c r="A29" s="9">
        <v>26</v>
      </c>
      <c r="B29" s="35" t="s">
        <v>137</v>
      </c>
      <c r="C29" s="13" t="s">
        <v>138</v>
      </c>
      <c r="D29" s="5" t="s">
        <v>122</v>
      </c>
      <c r="E29" s="6">
        <v>51</v>
      </c>
      <c r="F29" s="6"/>
      <c r="G29" s="6"/>
      <c r="H29" s="5"/>
    </row>
    <row r="30" spans="1:8" ht="101.1" customHeight="1" x14ac:dyDescent="0.15">
      <c r="A30" s="9">
        <v>27</v>
      </c>
      <c r="B30" s="35" t="s">
        <v>139</v>
      </c>
      <c r="C30" s="13" t="s">
        <v>140</v>
      </c>
      <c r="D30" s="5" t="s">
        <v>122</v>
      </c>
      <c r="E30" s="6">
        <v>82</v>
      </c>
      <c r="F30" s="6"/>
      <c r="G30" s="6"/>
      <c r="H30" s="5"/>
    </row>
    <row r="31" spans="1:8" ht="20.100000000000001" customHeight="1" x14ac:dyDescent="0.15">
      <c r="A31" s="7"/>
      <c r="B31" s="36" t="s">
        <v>141</v>
      </c>
      <c r="C31" s="7"/>
      <c r="D31" s="7"/>
      <c r="E31" s="8"/>
      <c r="F31" s="8"/>
      <c r="G31" s="8"/>
      <c r="H31" s="7"/>
    </row>
    <row r="32" spans="1:8" ht="117.95" customHeight="1" x14ac:dyDescent="0.15">
      <c r="A32" s="5">
        <v>28</v>
      </c>
      <c r="B32" s="18" t="s">
        <v>142</v>
      </c>
      <c r="C32" s="21" t="s">
        <v>143</v>
      </c>
      <c r="D32" s="5" t="s">
        <v>40</v>
      </c>
      <c r="E32" s="6">
        <f>13.24+0.9</f>
        <v>14.14</v>
      </c>
      <c r="F32" s="6"/>
      <c r="G32" s="6"/>
      <c r="H32" s="5"/>
    </row>
    <row r="33" spans="1:8" ht="117.95" customHeight="1" x14ac:dyDescent="0.15">
      <c r="A33" s="5">
        <v>29</v>
      </c>
      <c r="B33" s="18" t="s">
        <v>144</v>
      </c>
      <c r="C33" s="21" t="s">
        <v>145</v>
      </c>
      <c r="D33" s="5" t="s">
        <v>40</v>
      </c>
      <c r="E33" s="6">
        <f>1+0.9*3</f>
        <v>3.7</v>
      </c>
      <c r="F33" s="6"/>
      <c r="G33" s="6"/>
      <c r="H33" s="5"/>
    </row>
    <row r="34" spans="1:8" ht="117.95" customHeight="1" x14ac:dyDescent="0.15">
      <c r="A34" s="5">
        <v>30</v>
      </c>
      <c r="B34" s="18" t="s">
        <v>146</v>
      </c>
      <c r="C34" s="21" t="s">
        <v>147</v>
      </c>
      <c r="D34" s="5" t="s">
        <v>40</v>
      </c>
      <c r="E34" s="6">
        <f>0.9*3</f>
        <v>2.7</v>
      </c>
      <c r="F34" s="6"/>
      <c r="G34" s="6"/>
      <c r="H34" s="5"/>
    </row>
    <row r="35" spans="1:8" ht="117.95" customHeight="1" x14ac:dyDescent="0.15">
      <c r="A35" s="5">
        <v>31</v>
      </c>
      <c r="B35" s="18" t="s">
        <v>148</v>
      </c>
      <c r="C35" s="21" t="s">
        <v>149</v>
      </c>
      <c r="D35" s="5" t="s">
        <v>40</v>
      </c>
      <c r="E35" s="6">
        <f>22.85+3.5</f>
        <v>26.35</v>
      </c>
      <c r="F35" s="6"/>
      <c r="G35" s="6"/>
      <c r="H35" s="5"/>
    </row>
    <row r="36" spans="1:8" ht="117.95" customHeight="1" x14ac:dyDescent="0.15">
      <c r="A36" s="5">
        <v>32</v>
      </c>
      <c r="B36" s="18" t="s">
        <v>150</v>
      </c>
      <c r="C36" s="21" t="s">
        <v>151</v>
      </c>
      <c r="D36" s="5" t="s">
        <v>40</v>
      </c>
      <c r="E36" s="6">
        <f>4.22+10.64+1+0.42</f>
        <v>16.28</v>
      </c>
      <c r="F36" s="6"/>
      <c r="G36" s="6"/>
      <c r="H36" s="5"/>
    </row>
    <row r="37" spans="1:8" ht="117.95" customHeight="1" x14ac:dyDescent="0.15">
      <c r="A37" s="5">
        <v>33</v>
      </c>
      <c r="B37" s="18" t="s">
        <v>152</v>
      </c>
      <c r="C37" s="21" t="s">
        <v>153</v>
      </c>
      <c r="D37" s="5" t="s">
        <v>40</v>
      </c>
      <c r="E37" s="6">
        <f>40.91</f>
        <v>40.909999999999997</v>
      </c>
      <c r="F37" s="6"/>
      <c r="G37" s="6"/>
      <c r="H37" s="5"/>
    </row>
    <row r="38" spans="1:8" ht="117.95" customHeight="1" x14ac:dyDescent="0.15">
      <c r="A38" s="5">
        <v>34</v>
      </c>
      <c r="B38" s="18" t="s">
        <v>154</v>
      </c>
      <c r="C38" s="21" t="s">
        <v>155</v>
      </c>
      <c r="D38" s="5" t="s">
        <v>40</v>
      </c>
      <c r="E38" s="6">
        <v>4</v>
      </c>
      <c r="F38" s="6"/>
      <c r="G38" s="6"/>
      <c r="H38" s="5"/>
    </row>
    <row r="39" spans="1:8" ht="129" customHeight="1" x14ac:dyDescent="0.15">
      <c r="A39" s="5">
        <v>35</v>
      </c>
      <c r="B39" s="18" t="s">
        <v>156</v>
      </c>
      <c r="C39" s="21" t="s">
        <v>157</v>
      </c>
      <c r="D39" s="5" t="s">
        <v>40</v>
      </c>
      <c r="E39" s="6">
        <f>6+0.5*3</f>
        <v>7.5</v>
      </c>
      <c r="F39" s="6"/>
      <c r="G39" s="6"/>
      <c r="H39" s="5"/>
    </row>
    <row r="40" spans="1:8" ht="151.5" customHeight="1" x14ac:dyDescent="0.15">
      <c r="A40" s="5">
        <v>36</v>
      </c>
      <c r="B40" s="18" t="s">
        <v>158</v>
      </c>
      <c r="C40" s="21" t="s">
        <v>159</v>
      </c>
      <c r="D40" s="5" t="s">
        <v>40</v>
      </c>
      <c r="E40" s="6">
        <v>4</v>
      </c>
      <c r="F40" s="6"/>
      <c r="G40" s="6"/>
      <c r="H40" s="5"/>
    </row>
    <row r="41" spans="1:8" ht="20.100000000000001" customHeight="1" x14ac:dyDescent="0.15">
      <c r="A41" s="7"/>
      <c r="B41" s="36" t="s">
        <v>89</v>
      </c>
      <c r="C41" s="7"/>
      <c r="D41" s="7"/>
      <c r="E41" s="8"/>
      <c r="F41" s="8"/>
      <c r="G41" s="8"/>
      <c r="H41" s="7"/>
    </row>
  </sheetData>
  <mergeCells count="1">
    <mergeCell ref="A1:H1"/>
  </mergeCells>
  <phoneticPr fontId="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Normal="100" workbookViewId="0">
      <selection activeCell="C26" sqref="C26"/>
    </sheetView>
  </sheetViews>
  <sheetFormatPr defaultColWidth="8.875" defaultRowHeight="20.100000000000001" customHeight="1" x14ac:dyDescent="0.15"/>
  <cols>
    <col min="1" max="1" width="5.5" style="3" customWidth="1"/>
    <col min="2" max="2" width="12.375" style="3" customWidth="1"/>
    <col min="3" max="3" width="47.875" style="73" customWidth="1"/>
    <col min="4" max="4" width="6.625" style="3" customWidth="1"/>
    <col min="5" max="5" width="9.625" style="4"/>
    <col min="6" max="6" width="9.875" style="4" customWidth="1"/>
    <col min="7" max="7" width="10" style="4" customWidth="1"/>
    <col min="8" max="8" width="17.75" style="3" customWidth="1"/>
    <col min="9" max="16384" width="8.875" style="3"/>
  </cols>
  <sheetData>
    <row r="1" spans="1:9" ht="33" customHeight="1" x14ac:dyDescent="0.15">
      <c r="A1" s="74" t="s">
        <v>160</v>
      </c>
      <c r="B1" s="74"/>
      <c r="C1" s="77"/>
      <c r="D1" s="74"/>
      <c r="E1" s="74"/>
      <c r="F1" s="74"/>
      <c r="G1" s="74"/>
      <c r="H1" s="74"/>
    </row>
    <row r="2" spans="1:9" ht="20.100000000000001" customHeight="1" x14ac:dyDescent="0.15">
      <c r="A2" s="5" t="s">
        <v>0</v>
      </c>
      <c r="B2" s="5" t="s">
        <v>1</v>
      </c>
      <c r="C2" s="5" t="s">
        <v>16</v>
      </c>
      <c r="D2" s="5" t="s">
        <v>2</v>
      </c>
      <c r="E2" s="6" t="s">
        <v>17</v>
      </c>
      <c r="F2" s="6" t="s">
        <v>18</v>
      </c>
      <c r="G2" s="6" t="s">
        <v>19</v>
      </c>
      <c r="H2" s="5" t="s">
        <v>4</v>
      </c>
      <c r="I2" s="3" t="s">
        <v>237</v>
      </c>
    </row>
    <row r="3" spans="1:9" ht="20.100000000000001" customHeight="1" x14ac:dyDescent="0.15">
      <c r="A3" s="7"/>
      <c r="B3" s="7" t="s">
        <v>20</v>
      </c>
      <c r="C3" s="7"/>
      <c r="D3" s="7"/>
      <c r="E3" s="8"/>
      <c r="F3" s="8"/>
      <c r="G3" s="8"/>
      <c r="H3" s="7"/>
    </row>
    <row r="4" spans="1:9" s="65" customFormat="1" ht="81" customHeight="1" x14ac:dyDescent="0.15">
      <c r="A4" s="62">
        <v>1</v>
      </c>
      <c r="B4" s="62" t="s">
        <v>21</v>
      </c>
      <c r="C4" s="50" t="s">
        <v>22</v>
      </c>
      <c r="D4" s="62" t="s">
        <v>23</v>
      </c>
      <c r="E4" s="63">
        <f>225.93+(4.58+6.6+6.6+3.05)</f>
        <v>246.76000000000002</v>
      </c>
      <c r="F4" s="64"/>
      <c r="G4" s="64"/>
      <c r="H4" s="51"/>
    </row>
    <row r="5" spans="1:9" s="65" customFormat="1" ht="65.099999999999994" customHeight="1" x14ac:dyDescent="0.15">
      <c r="A5" s="62">
        <v>2</v>
      </c>
      <c r="B5" s="62" t="s">
        <v>24</v>
      </c>
      <c r="C5" s="50" t="s">
        <v>25</v>
      </c>
      <c r="D5" s="62" t="s">
        <v>161</v>
      </c>
      <c r="E5" s="63">
        <f>E4*2+6.6*0.6*5+1.2+1.3+1.3+2.6+142.48</f>
        <v>662.2</v>
      </c>
      <c r="F5" s="64"/>
      <c r="G5" s="64"/>
      <c r="H5" s="50" t="s">
        <v>26</v>
      </c>
    </row>
    <row r="6" spans="1:9" s="65" customFormat="1" ht="77.099999999999994" customHeight="1" x14ac:dyDescent="0.15">
      <c r="A6" s="62">
        <v>3</v>
      </c>
      <c r="B6" s="62" t="s">
        <v>27</v>
      </c>
      <c r="C6" s="50" t="s">
        <v>28</v>
      </c>
      <c r="D6" s="62" t="s">
        <v>162</v>
      </c>
      <c r="E6" s="63">
        <f>34.2*0.2*0.2</f>
        <v>1.3680000000000003</v>
      </c>
      <c r="F6" s="64"/>
      <c r="G6" s="64"/>
      <c r="H6" s="51"/>
    </row>
    <row r="7" spans="1:9" s="65" customFormat="1" ht="77.099999999999994" customHeight="1" x14ac:dyDescent="0.15">
      <c r="A7" s="62">
        <v>4</v>
      </c>
      <c r="B7" s="62" t="s">
        <v>30</v>
      </c>
      <c r="C7" s="50" t="s">
        <v>31</v>
      </c>
      <c r="D7" s="62" t="s">
        <v>162</v>
      </c>
      <c r="E7" s="63">
        <f>50.81*0.2*0.2</f>
        <v>2.0324000000000004</v>
      </c>
      <c r="F7" s="64"/>
      <c r="G7" s="64"/>
      <c r="H7" s="51"/>
    </row>
    <row r="8" spans="1:9" s="65" customFormat="1" ht="20.100000000000001" customHeight="1" x14ac:dyDescent="0.15">
      <c r="A8" s="62"/>
      <c r="B8" s="62" t="s">
        <v>32</v>
      </c>
      <c r="C8" s="66"/>
      <c r="D8" s="62"/>
      <c r="E8" s="63"/>
      <c r="F8" s="63"/>
      <c r="G8" s="63"/>
      <c r="H8" s="62"/>
    </row>
    <row r="9" spans="1:9" s="65" customFormat="1" ht="20.100000000000001" customHeight="1" x14ac:dyDescent="0.15">
      <c r="A9" s="62">
        <v>5</v>
      </c>
      <c r="B9" s="62" t="s">
        <v>163</v>
      </c>
      <c r="C9" s="66" t="s">
        <v>164</v>
      </c>
      <c r="D9" s="62" t="s">
        <v>23</v>
      </c>
      <c r="E9" s="63">
        <f>8.52+8.58+8.8</f>
        <v>25.900000000000002</v>
      </c>
      <c r="F9" s="63"/>
      <c r="G9" s="63"/>
      <c r="H9" s="62"/>
    </row>
    <row r="10" spans="1:9" s="65" customFormat="1" ht="20.100000000000001" customHeight="1" x14ac:dyDescent="0.15">
      <c r="A10" s="62">
        <v>6</v>
      </c>
      <c r="B10" s="62" t="s">
        <v>165</v>
      </c>
      <c r="C10" s="67" t="s">
        <v>166</v>
      </c>
      <c r="D10" s="62" t="s">
        <v>23</v>
      </c>
      <c r="E10" s="63">
        <f>8.52+8.58+8.8</f>
        <v>25.900000000000002</v>
      </c>
      <c r="F10" s="63"/>
      <c r="G10" s="63"/>
      <c r="H10" s="62"/>
    </row>
    <row r="11" spans="1:9" s="65" customFormat="1" ht="20.100000000000001" customHeight="1" x14ac:dyDescent="0.15">
      <c r="A11" s="62">
        <v>7</v>
      </c>
      <c r="B11" s="62" t="s">
        <v>167</v>
      </c>
      <c r="C11" s="66" t="s">
        <v>168</v>
      </c>
      <c r="D11" s="62" t="s">
        <v>23</v>
      </c>
      <c r="E11" s="63">
        <f>8.52+8.58+8.8</f>
        <v>25.900000000000002</v>
      </c>
      <c r="F11" s="63"/>
      <c r="G11" s="63"/>
      <c r="H11" s="62"/>
    </row>
    <row r="12" spans="1:9" s="65" customFormat="1" ht="20.100000000000001" customHeight="1" x14ac:dyDescent="0.15">
      <c r="A12" s="62">
        <v>8</v>
      </c>
      <c r="B12" s="62" t="s">
        <v>169</v>
      </c>
      <c r="C12" s="66" t="s">
        <v>170</v>
      </c>
      <c r="D12" s="62" t="s">
        <v>23</v>
      </c>
      <c r="E12" s="63">
        <f>8.52+8.58+8.8</f>
        <v>25.900000000000002</v>
      </c>
      <c r="F12" s="63"/>
      <c r="G12" s="63"/>
      <c r="H12" s="62"/>
    </row>
    <row r="13" spans="1:9" s="65" customFormat="1" ht="108.95" customHeight="1" x14ac:dyDescent="0.15">
      <c r="A13" s="62">
        <v>9</v>
      </c>
      <c r="B13" s="62" t="s">
        <v>33</v>
      </c>
      <c r="C13" s="68" t="s">
        <v>274</v>
      </c>
      <c r="D13" s="62" t="s">
        <v>23</v>
      </c>
      <c r="E13" s="63">
        <f>852.73</f>
        <v>852.73</v>
      </c>
      <c r="F13" s="63"/>
      <c r="G13" s="63"/>
      <c r="H13" s="62" t="s">
        <v>34</v>
      </c>
    </row>
    <row r="14" spans="1:9" s="65" customFormat="1" ht="106.5" customHeight="1" x14ac:dyDescent="0.15">
      <c r="A14" s="62">
        <v>10</v>
      </c>
      <c r="B14" s="62" t="s">
        <v>33</v>
      </c>
      <c r="C14" s="68" t="s">
        <v>273</v>
      </c>
      <c r="D14" s="62" t="s">
        <v>23</v>
      </c>
      <c r="E14" s="63">
        <f>63.62</f>
        <v>63.62</v>
      </c>
      <c r="F14" s="63"/>
      <c r="G14" s="63"/>
      <c r="H14" s="62" t="s">
        <v>34</v>
      </c>
    </row>
    <row r="15" spans="1:9" s="65" customFormat="1" ht="109.5" customHeight="1" x14ac:dyDescent="0.15">
      <c r="A15" s="62">
        <v>11</v>
      </c>
      <c r="B15" s="62" t="s">
        <v>33</v>
      </c>
      <c r="C15" s="68" t="s">
        <v>272</v>
      </c>
      <c r="D15" s="62" t="s">
        <v>23</v>
      </c>
      <c r="E15" s="63">
        <f>8.52+8.58+8.8</f>
        <v>25.900000000000002</v>
      </c>
      <c r="F15" s="63"/>
      <c r="G15" s="63"/>
      <c r="H15" s="62" t="s">
        <v>34</v>
      </c>
    </row>
    <row r="16" spans="1:9" s="65" customFormat="1" ht="108.95" customHeight="1" x14ac:dyDescent="0.15">
      <c r="A16" s="62">
        <v>12</v>
      </c>
      <c r="B16" s="62" t="s">
        <v>33</v>
      </c>
      <c r="C16" s="68" t="s">
        <v>275</v>
      </c>
      <c r="D16" s="62" t="s">
        <v>23</v>
      </c>
      <c r="E16" s="63">
        <f>79.41+23.81</f>
        <v>103.22</v>
      </c>
      <c r="F16" s="63"/>
      <c r="G16" s="63"/>
      <c r="H16" s="62" t="s">
        <v>34</v>
      </c>
    </row>
    <row r="17" spans="1:8" s="65" customFormat="1" ht="110.1" customHeight="1" x14ac:dyDescent="0.15">
      <c r="A17" s="62">
        <v>13</v>
      </c>
      <c r="B17" s="62" t="s">
        <v>35</v>
      </c>
      <c r="C17" s="68" t="s">
        <v>36</v>
      </c>
      <c r="D17" s="62" t="s">
        <v>23</v>
      </c>
      <c r="E17" s="63">
        <f>0.24*1.5+0.2*1.5*2</f>
        <v>0.96000000000000008</v>
      </c>
      <c r="F17" s="63"/>
      <c r="G17" s="63"/>
      <c r="H17" s="62"/>
    </row>
    <row r="18" spans="1:8" ht="20.100000000000001" customHeight="1" x14ac:dyDescent="0.15">
      <c r="A18" s="69"/>
      <c r="B18" s="69" t="s">
        <v>37</v>
      </c>
      <c r="C18" s="69"/>
      <c r="D18" s="69"/>
      <c r="E18" s="8"/>
      <c r="F18" s="70"/>
      <c r="G18" s="70"/>
      <c r="H18" s="69"/>
    </row>
    <row r="19" spans="1:8" s="65" customFormat="1" ht="48.95" customHeight="1" x14ac:dyDescent="0.15">
      <c r="A19" s="62">
        <v>14</v>
      </c>
      <c r="B19" s="71" t="s">
        <v>38</v>
      </c>
      <c r="C19" s="68" t="s">
        <v>239</v>
      </c>
      <c r="D19" s="62" t="s">
        <v>23</v>
      </c>
      <c r="E19" s="63">
        <f>(603.63+23.81)*0.1</f>
        <v>62.744</v>
      </c>
      <c r="F19" s="63"/>
      <c r="G19" s="63"/>
      <c r="H19" s="62"/>
    </row>
    <row r="20" spans="1:8" s="65" customFormat="1" ht="51" customHeight="1" x14ac:dyDescent="0.15">
      <c r="A20" s="62">
        <v>15</v>
      </c>
      <c r="B20" s="71" t="s">
        <v>38</v>
      </c>
      <c r="C20" s="68" t="s">
        <v>242</v>
      </c>
      <c r="D20" s="62" t="s">
        <v>23</v>
      </c>
      <c r="E20" s="63">
        <f>(603.63+23.81)*0.9</f>
        <v>564.69599999999991</v>
      </c>
      <c r="F20" s="63"/>
      <c r="G20" s="63"/>
      <c r="H20" s="62"/>
    </row>
    <row r="21" spans="1:8" s="65" customFormat="1" ht="63" customHeight="1" x14ac:dyDescent="0.15">
      <c r="A21" s="62">
        <v>16</v>
      </c>
      <c r="B21" s="71" t="s">
        <v>39</v>
      </c>
      <c r="C21" s="68" t="s">
        <v>304</v>
      </c>
      <c r="D21" s="62" t="s">
        <v>238</v>
      </c>
      <c r="E21" s="63">
        <f>34*7.5</f>
        <v>255</v>
      </c>
      <c r="F21" s="63"/>
      <c r="G21" s="63"/>
      <c r="H21" s="71"/>
    </row>
    <row r="22" spans="1:8" s="65" customFormat="1" ht="71.45" customHeight="1" x14ac:dyDescent="0.15">
      <c r="A22" s="62">
        <v>17</v>
      </c>
      <c r="B22" s="62" t="s">
        <v>45</v>
      </c>
      <c r="C22" s="68" t="s">
        <v>321</v>
      </c>
      <c r="D22" s="62" t="s">
        <v>40</v>
      </c>
      <c r="E22" s="63">
        <f>20.47+21.05+22.16</f>
        <v>63.679999999999993</v>
      </c>
      <c r="F22" s="63"/>
      <c r="G22" s="63"/>
      <c r="H22" s="71" t="s">
        <v>171</v>
      </c>
    </row>
    <row r="23" spans="1:8" s="65" customFormat="1" ht="32.1" customHeight="1" x14ac:dyDescent="0.15">
      <c r="A23" s="62">
        <v>18</v>
      </c>
      <c r="B23" s="62" t="s">
        <v>172</v>
      </c>
      <c r="C23" s="68" t="s">
        <v>312</v>
      </c>
      <c r="D23" s="62" t="s">
        <v>23</v>
      </c>
      <c r="E23" s="63">
        <f>8.64+8.64+8.9</f>
        <v>26.18</v>
      </c>
      <c r="F23" s="63"/>
      <c r="G23" s="63"/>
      <c r="H23" s="62"/>
    </row>
    <row r="24" spans="1:8" s="65" customFormat="1" ht="81.95" customHeight="1" x14ac:dyDescent="0.15">
      <c r="A24" s="62">
        <v>19</v>
      </c>
      <c r="B24" s="62" t="s">
        <v>41</v>
      </c>
      <c r="C24" s="68" t="s">
        <v>42</v>
      </c>
      <c r="D24" s="62" t="s">
        <v>23</v>
      </c>
      <c r="E24" s="63">
        <f>822-603.63+74.52+313.38*0.4</f>
        <v>418.24199999999996</v>
      </c>
      <c r="F24" s="63"/>
      <c r="G24" s="63"/>
      <c r="H24" s="62"/>
    </row>
    <row r="25" spans="1:8" s="65" customFormat="1" ht="81.95" customHeight="1" x14ac:dyDescent="0.15">
      <c r="A25" s="62">
        <v>20</v>
      </c>
      <c r="B25" s="62" t="s">
        <v>43</v>
      </c>
      <c r="C25" s="68" t="s">
        <v>44</v>
      </c>
      <c r="D25" s="62" t="s">
        <v>23</v>
      </c>
      <c r="E25" s="63">
        <f>822-603.63+74.52+313.38*0.4+79.41</f>
        <v>497.65199999999993</v>
      </c>
      <c r="F25" s="63"/>
      <c r="G25" s="63"/>
      <c r="H25" s="62"/>
    </row>
    <row r="26" spans="1:8" s="65" customFormat="1" ht="81.95" customHeight="1" x14ac:dyDescent="0.15">
      <c r="A26" s="62">
        <v>21</v>
      </c>
      <c r="B26" s="62" t="s">
        <v>46</v>
      </c>
      <c r="C26" s="59" t="s">
        <v>317</v>
      </c>
      <c r="D26" s="62" t="s">
        <v>40</v>
      </c>
      <c r="E26" s="63">
        <v>66.89</v>
      </c>
      <c r="F26" s="63"/>
      <c r="G26" s="63"/>
      <c r="H26" s="62" t="s">
        <v>240</v>
      </c>
    </row>
    <row r="27" spans="1:8" s="65" customFormat="1" ht="109.5" customHeight="1" x14ac:dyDescent="0.15">
      <c r="A27" s="62">
        <v>22</v>
      </c>
      <c r="B27" s="71" t="s">
        <v>47</v>
      </c>
      <c r="C27" s="68" t="s">
        <v>48</v>
      </c>
      <c r="D27" s="62" t="s">
        <v>23</v>
      </c>
      <c r="E27" s="63">
        <f>822+184.61*0.8+(7.09*30+5*39+6.6*73)*0.7+23.81+19.62*1.2</f>
        <v>1639.692</v>
      </c>
      <c r="F27" s="63"/>
      <c r="G27" s="63"/>
      <c r="H27" s="62"/>
    </row>
    <row r="28" spans="1:8" ht="20.100000000000001" customHeight="1" x14ac:dyDescent="0.15">
      <c r="A28" s="7"/>
      <c r="B28" s="69" t="s">
        <v>49</v>
      </c>
      <c r="C28" s="69"/>
      <c r="D28" s="7"/>
      <c r="E28" s="8"/>
      <c r="F28" s="8"/>
      <c r="G28" s="8"/>
      <c r="H28" s="7"/>
    </row>
    <row r="29" spans="1:8" s="65" customFormat="1" ht="93" customHeight="1" x14ac:dyDescent="0.15">
      <c r="A29" s="62">
        <v>23</v>
      </c>
      <c r="B29" s="66" t="s">
        <v>50</v>
      </c>
      <c r="C29" s="68" t="s">
        <v>276</v>
      </c>
      <c r="D29" s="62" t="s">
        <v>23</v>
      </c>
      <c r="E29" s="62">
        <f>(12.82+11.42+5.75+6.6*6+18.58+6.6*3+(5.53+0.87+0.5+0.5+1.57+2.85)*2+7.99)*3-18.5*3+14.8*5-17.4*2-4.98*4-(1.5+1.5+1.2+1.2)*3</f>
        <v>366.38000000000005</v>
      </c>
      <c r="F29" s="63"/>
      <c r="G29" s="63"/>
      <c r="H29" s="62" t="s">
        <v>34</v>
      </c>
    </row>
    <row r="30" spans="1:8" s="65" customFormat="1" ht="77.099999999999994" customHeight="1" x14ac:dyDescent="0.15">
      <c r="A30" s="62">
        <v>24</v>
      </c>
      <c r="B30" s="66" t="s">
        <v>51</v>
      </c>
      <c r="C30" s="68" t="s">
        <v>52</v>
      </c>
      <c r="D30" s="62" t="s">
        <v>23</v>
      </c>
      <c r="E30" s="63">
        <f>(66.7+19.55)*3-2.2*2+45.66*1.2</f>
        <v>309.142</v>
      </c>
      <c r="F30" s="63"/>
      <c r="G30" s="63"/>
      <c r="H30" s="71" t="s">
        <v>173</v>
      </c>
    </row>
    <row r="31" spans="1:8" s="65" customFormat="1" ht="24.95" customHeight="1" x14ac:dyDescent="0.15">
      <c r="A31" s="62">
        <v>25</v>
      </c>
      <c r="B31" s="66" t="s">
        <v>174</v>
      </c>
      <c r="C31" s="67" t="s">
        <v>175</v>
      </c>
      <c r="D31" s="62" t="s">
        <v>176</v>
      </c>
      <c r="E31" s="63">
        <v>93.56</v>
      </c>
      <c r="F31" s="63"/>
      <c r="G31" s="63"/>
      <c r="H31" s="62"/>
    </row>
    <row r="32" spans="1:8" s="65" customFormat="1" ht="72.599999999999994" customHeight="1" x14ac:dyDescent="0.15">
      <c r="A32" s="62">
        <v>26</v>
      </c>
      <c r="B32" s="68" t="s">
        <v>53</v>
      </c>
      <c r="C32" s="68" t="s">
        <v>277</v>
      </c>
      <c r="D32" s="62" t="s">
        <v>23</v>
      </c>
      <c r="E32" s="63">
        <f>1.2*2.92*12+2.36*2.92*10</f>
        <v>110.96</v>
      </c>
      <c r="F32" s="63"/>
      <c r="G32" s="63"/>
      <c r="H32" s="62"/>
    </row>
    <row r="33" spans="1:8" s="65" customFormat="1" ht="48" customHeight="1" x14ac:dyDescent="0.15">
      <c r="A33" s="62">
        <v>27</v>
      </c>
      <c r="B33" s="71" t="s">
        <v>177</v>
      </c>
      <c r="C33" s="68" t="s">
        <v>178</v>
      </c>
      <c r="D33" s="62" t="s">
        <v>40</v>
      </c>
      <c r="E33" s="63">
        <f>2.92*12*2+2.92*10*4</f>
        <v>186.88</v>
      </c>
      <c r="F33" s="63"/>
      <c r="G33" s="63"/>
      <c r="H33" s="62"/>
    </row>
    <row r="34" spans="1:8" s="65" customFormat="1" ht="47.45" customHeight="1" x14ac:dyDescent="0.15">
      <c r="A34" s="62">
        <v>28</v>
      </c>
      <c r="B34" s="71" t="s">
        <v>179</v>
      </c>
      <c r="C34" s="68" t="s">
        <v>180</v>
      </c>
      <c r="D34" s="62" t="s">
        <v>40</v>
      </c>
      <c r="E34" s="63">
        <f>1.2*12+2.36*10</f>
        <v>38</v>
      </c>
      <c r="F34" s="63"/>
      <c r="G34" s="63"/>
      <c r="H34" s="62"/>
    </row>
    <row r="35" spans="1:8" s="65" customFormat="1" ht="48.95" customHeight="1" x14ac:dyDescent="0.15">
      <c r="A35" s="62">
        <v>29</v>
      </c>
      <c r="B35" s="66" t="s">
        <v>181</v>
      </c>
      <c r="C35" s="68" t="s">
        <v>182</v>
      </c>
      <c r="D35" s="62" t="s">
        <v>23</v>
      </c>
      <c r="E35" s="63">
        <f>39.35*2.75-7.67*2*2.75-5.4*1.8*2-1.5*2.4*2</f>
        <v>39.387500000000003</v>
      </c>
      <c r="F35" s="63"/>
      <c r="G35" s="63"/>
      <c r="H35" s="62"/>
    </row>
    <row r="36" spans="1:8" s="65" customFormat="1" ht="54" customHeight="1" x14ac:dyDescent="0.15">
      <c r="A36" s="62">
        <v>30</v>
      </c>
      <c r="B36" s="66" t="s">
        <v>181</v>
      </c>
      <c r="C36" s="68" t="s">
        <v>182</v>
      </c>
      <c r="D36" s="62" t="s">
        <v>23</v>
      </c>
      <c r="E36" s="63">
        <f>2.44*2.75*2</f>
        <v>13.42</v>
      </c>
      <c r="F36" s="63"/>
      <c r="G36" s="63"/>
      <c r="H36" s="62"/>
    </row>
    <row r="37" spans="1:8" s="65" customFormat="1" ht="39" customHeight="1" x14ac:dyDescent="0.15">
      <c r="A37" s="62">
        <v>31</v>
      </c>
      <c r="B37" s="66" t="s">
        <v>183</v>
      </c>
      <c r="C37" s="68" t="s">
        <v>184</v>
      </c>
      <c r="D37" s="62" t="s">
        <v>40</v>
      </c>
      <c r="E37" s="63">
        <f>2.8*2*2+(1.48*2+0.98*2)*2</f>
        <v>21.04</v>
      </c>
      <c r="F37" s="63"/>
      <c r="G37" s="63"/>
      <c r="H37" s="62"/>
    </row>
    <row r="38" spans="1:8" s="65" customFormat="1" ht="59.1" customHeight="1" x14ac:dyDescent="0.15">
      <c r="A38" s="62">
        <v>32</v>
      </c>
      <c r="B38" s="71" t="s">
        <v>185</v>
      </c>
      <c r="C38" s="68" t="s">
        <v>186</v>
      </c>
      <c r="D38" s="62" t="s">
        <v>40</v>
      </c>
      <c r="E38" s="63">
        <f>39.35-1.5*2+66.7+19.55-2</f>
        <v>120.60000000000001</v>
      </c>
      <c r="F38" s="63"/>
      <c r="G38" s="63"/>
      <c r="H38" s="62"/>
    </row>
    <row r="39" spans="1:8" s="65" customFormat="1" ht="47.45" customHeight="1" x14ac:dyDescent="0.15">
      <c r="A39" s="62">
        <v>33</v>
      </c>
      <c r="B39" s="71" t="s">
        <v>187</v>
      </c>
      <c r="C39" s="68" t="s">
        <v>188</v>
      </c>
      <c r="D39" s="62" t="s">
        <v>23</v>
      </c>
      <c r="E39" s="63">
        <f>5*2.8</f>
        <v>14</v>
      </c>
      <c r="F39" s="63"/>
      <c r="G39" s="63"/>
      <c r="H39" s="71" t="s">
        <v>189</v>
      </c>
    </row>
    <row r="40" spans="1:8" s="65" customFormat="1" ht="96.95" customHeight="1" x14ac:dyDescent="0.15">
      <c r="A40" s="62">
        <v>34</v>
      </c>
      <c r="B40" s="66" t="s">
        <v>190</v>
      </c>
      <c r="C40" s="68" t="s">
        <v>191</v>
      </c>
      <c r="D40" s="62" t="s">
        <v>23</v>
      </c>
      <c r="E40" s="63">
        <f>4.28*3+5.3*3</f>
        <v>28.74</v>
      </c>
      <c r="F40" s="63"/>
      <c r="G40" s="63"/>
      <c r="H40" s="62"/>
    </row>
    <row r="41" spans="1:8" s="65" customFormat="1" ht="51.95" customHeight="1" x14ac:dyDescent="0.15">
      <c r="A41" s="62">
        <v>35</v>
      </c>
      <c r="B41" s="71" t="s">
        <v>192</v>
      </c>
      <c r="C41" s="68" t="s">
        <v>193</v>
      </c>
      <c r="D41" s="62" t="s">
        <v>23</v>
      </c>
      <c r="E41" s="63">
        <v>19.37</v>
      </c>
      <c r="F41" s="63"/>
      <c r="G41" s="63"/>
      <c r="H41" s="62"/>
    </row>
    <row r="42" spans="1:8" s="65" customFormat="1" ht="69" customHeight="1" x14ac:dyDescent="0.15">
      <c r="A42" s="62">
        <v>36</v>
      </c>
      <c r="B42" s="66" t="s">
        <v>194</v>
      </c>
      <c r="C42" s="68" t="s">
        <v>305</v>
      </c>
      <c r="D42" s="62" t="s">
        <v>23</v>
      </c>
      <c r="E42" s="63">
        <f>4.59+6.49*2</f>
        <v>17.57</v>
      </c>
      <c r="F42" s="63"/>
      <c r="G42" s="63"/>
      <c r="H42" s="62" t="s">
        <v>195</v>
      </c>
    </row>
    <row r="43" spans="1:8" s="65" customFormat="1" ht="40.5" customHeight="1" x14ac:dyDescent="0.15">
      <c r="A43" s="62">
        <v>37</v>
      </c>
      <c r="B43" s="66" t="s">
        <v>196</v>
      </c>
      <c r="C43" s="68" t="s">
        <v>306</v>
      </c>
      <c r="D43" s="62" t="s">
        <v>23</v>
      </c>
      <c r="E43" s="63">
        <f>4.59*1.2*2+6.6*1.2*2</f>
        <v>26.855999999999998</v>
      </c>
      <c r="F43" s="63"/>
      <c r="G43" s="63"/>
      <c r="H43" s="62" t="s">
        <v>197</v>
      </c>
    </row>
    <row r="44" spans="1:8" s="65" customFormat="1" ht="57.95" customHeight="1" x14ac:dyDescent="0.15">
      <c r="A44" s="62">
        <v>38</v>
      </c>
      <c r="B44" s="71" t="s">
        <v>198</v>
      </c>
      <c r="C44" s="68" t="s">
        <v>199</v>
      </c>
      <c r="D44" s="62" t="s">
        <v>40</v>
      </c>
      <c r="E44" s="63">
        <f>4.59*2+6.49*2</f>
        <v>22.16</v>
      </c>
      <c r="F44" s="63"/>
      <c r="G44" s="63"/>
      <c r="H44" s="62"/>
    </row>
    <row r="45" spans="1:8" s="65" customFormat="1" ht="62.45" customHeight="1" x14ac:dyDescent="0.15">
      <c r="A45" s="62">
        <v>39</v>
      </c>
      <c r="B45" s="62" t="s">
        <v>69</v>
      </c>
      <c r="C45" s="68" t="s">
        <v>307</v>
      </c>
      <c r="D45" s="62" t="s">
        <v>40</v>
      </c>
      <c r="E45" s="63">
        <v>10</v>
      </c>
      <c r="F45" s="63"/>
      <c r="G45" s="63"/>
      <c r="H45" s="62"/>
    </row>
    <row r="46" spans="1:8" s="65" customFormat="1" ht="98.45" customHeight="1" x14ac:dyDescent="0.15">
      <c r="A46" s="62">
        <v>40</v>
      </c>
      <c r="B46" s="71" t="s">
        <v>64</v>
      </c>
      <c r="C46" s="68" t="s">
        <v>278</v>
      </c>
      <c r="D46" s="62" t="s">
        <v>40</v>
      </c>
      <c r="E46" s="63">
        <f>2.75*2+3.06+5.61+4.88</f>
        <v>19.05</v>
      </c>
      <c r="F46" s="63"/>
      <c r="G46" s="63"/>
      <c r="H46" s="62"/>
    </row>
    <row r="47" spans="1:8" s="65" customFormat="1" ht="87.6" customHeight="1" x14ac:dyDescent="0.15">
      <c r="A47" s="62">
        <v>41</v>
      </c>
      <c r="B47" s="71" t="s">
        <v>66</v>
      </c>
      <c r="C47" s="68" t="s">
        <v>279</v>
      </c>
      <c r="D47" s="62" t="s">
        <v>40</v>
      </c>
      <c r="E47" s="63">
        <f>3.85+3.85+4.1+4.1+4.1+4.1+6.1+6.1+6.15+5.8</f>
        <v>48.25</v>
      </c>
      <c r="F47" s="63"/>
      <c r="G47" s="63"/>
      <c r="H47" s="62"/>
    </row>
    <row r="48" spans="1:8" s="24" customFormat="1" ht="39.950000000000003" customHeight="1" x14ac:dyDescent="0.15">
      <c r="A48" s="62">
        <v>42</v>
      </c>
      <c r="B48" s="71" t="s">
        <v>70</v>
      </c>
      <c r="C48" s="68" t="s">
        <v>301</v>
      </c>
      <c r="D48" s="62" t="s">
        <v>23</v>
      </c>
      <c r="E48" s="63">
        <f>1.33*4.6*10</f>
        <v>61.179999999999993</v>
      </c>
      <c r="F48" s="63"/>
      <c r="G48" s="63"/>
      <c r="H48" s="62"/>
    </row>
    <row r="49" spans="1:9" s="24" customFormat="1" ht="39.950000000000003" customHeight="1" x14ac:dyDescent="0.15">
      <c r="A49" s="62">
        <v>43</v>
      </c>
      <c r="B49" s="66" t="s">
        <v>72</v>
      </c>
      <c r="C49" s="68" t="s">
        <v>308</v>
      </c>
      <c r="D49" s="62" t="s">
        <v>23</v>
      </c>
      <c r="E49" s="63">
        <v>24.75</v>
      </c>
      <c r="F49" s="63"/>
      <c r="G49" s="63"/>
      <c r="H49" s="71" t="s">
        <v>73</v>
      </c>
    </row>
    <row r="50" spans="1:9" s="24" customFormat="1" ht="39.950000000000003" customHeight="1" x14ac:dyDescent="0.15">
      <c r="A50" s="62">
        <v>44</v>
      </c>
      <c r="B50" s="62" t="s">
        <v>74</v>
      </c>
      <c r="C50" s="68" t="s">
        <v>309</v>
      </c>
      <c r="D50" s="62" t="s">
        <v>23</v>
      </c>
      <c r="E50" s="63">
        <v>113.71</v>
      </c>
      <c r="F50" s="63"/>
      <c r="G50" s="63"/>
      <c r="H50" s="62"/>
    </row>
    <row r="51" spans="1:9" s="24" customFormat="1" ht="39.950000000000003" customHeight="1" x14ac:dyDescent="0.15">
      <c r="A51" s="62">
        <v>45</v>
      </c>
      <c r="B51" s="66" t="s">
        <v>75</v>
      </c>
      <c r="C51" s="68" t="s">
        <v>310</v>
      </c>
      <c r="D51" s="62" t="s">
        <v>23</v>
      </c>
      <c r="E51" s="63">
        <v>25.92</v>
      </c>
      <c r="F51" s="63"/>
      <c r="G51" s="63"/>
      <c r="H51" s="62"/>
    </row>
    <row r="52" spans="1:9" ht="20.100000000000001" customHeight="1" x14ac:dyDescent="0.15">
      <c r="A52" s="7"/>
      <c r="B52" s="7" t="s">
        <v>76</v>
      </c>
      <c r="C52" s="69"/>
      <c r="D52" s="7"/>
      <c r="E52" s="8"/>
      <c r="F52" s="8"/>
      <c r="G52" s="8"/>
      <c r="H52" s="7"/>
    </row>
    <row r="53" spans="1:9" s="65" customFormat="1" ht="39" customHeight="1" x14ac:dyDescent="0.15">
      <c r="A53" s="62">
        <v>43</v>
      </c>
      <c r="B53" s="71" t="s">
        <v>77</v>
      </c>
      <c r="C53" s="68" t="s">
        <v>78</v>
      </c>
      <c r="D53" s="62" t="s">
        <v>40</v>
      </c>
      <c r="E53" s="63">
        <f>2.6*2+2.2</f>
        <v>7.4</v>
      </c>
      <c r="F53" s="63"/>
      <c r="G53" s="63"/>
      <c r="H53" s="68"/>
    </row>
    <row r="54" spans="1:9" s="65" customFormat="1" ht="75.95" customHeight="1" x14ac:dyDescent="0.15">
      <c r="A54" s="62">
        <v>44</v>
      </c>
      <c r="B54" s="66" t="s">
        <v>200</v>
      </c>
      <c r="C54" s="68" t="s">
        <v>201</v>
      </c>
      <c r="D54" s="62" t="s">
        <v>23</v>
      </c>
      <c r="E54" s="63">
        <f>2.1*3.7+2.2*2.6+2.6*1.4+3.75*6.6+0.95*2.05</f>
        <v>43.827500000000001</v>
      </c>
      <c r="F54" s="63"/>
      <c r="G54" s="63"/>
      <c r="H54" s="68" t="s">
        <v>202</v>
      </c>
    </row>
    <row r="55" spans="1:9" s="65" customFormat="1" ht="48.6" customHeight="1" x14ac:dyDescent="0.15">
      <c r="A55" s="62">
        <v>45</v>
      </c>
      <c r="B55" s="66" t="s">
        <v>203</v>
      </c>
      <c r="C55" s="68" t="s">
        <v>311</v>
      </c>
      <c r="D55" s="62" t="s">
        <v>204</v>
      </c>
      <c r="E55" s="72">
        <v>2</v>
      </c>
      <c r="F55" s="63"/>
      <c r="G55" s="63"/>
      <c r="H55" s="68" t="s">
        <v>241</v>
      </c>
    </row>
    <row r="56" spans="1:9" s="65" customFormat="1" ht="66" customHeight="1" x14ac:dyDescent="0.15">
      <c r="A56" s="62">
        <v>46</v>
      </c>
      <c r="B56" s="66" t="s">
        <v>84</v>
      </c>
      <c r="C56" s="68" t="s">
        <v>243</v>
      </c>
      <c r="D56" s="62" t="s">
        <v>23</v>
      </c>
      <c r="E56" s="62">
        <f>2.9*1.8*3+6.6*3.5*3+6*2*2+2.1*2.9+6.6*2.9*7+1.8*2.9*3</f>
        <v>264.69</v>
      </c>
      <c r="F56" s="63"/>
      <c r="G56" s="63"/>
      <c r="H56" s="71" t="s">
        <v>205</v>
      </c>
    </row>
    <row r="57" spans="1:9" s="65" customFormat="1" ht="87" customHeight="1" x14ac:dyDescent="0.15">
      <c r="A57" s="62">
        <v>47</v>
      </c>
      <c r="B57" s="62" t="s">
        <v>82</v>
      </c>
      <c r="C57" s="68" t="s">
        <v>313</v>
      </c>
      <c r="D57" s="62" t="s">
        <v>23</v>
      </c>
      <c r="E57" s="63">
        <f>6.6*3.7*2</f>
        <v>48.839999999999996</v>
      </c>
      <c r="F57" s="63"/>
      <c r="G57" s="63"/>
      <c r="H57" s="68" t="s">
        <v>206</v>
      </c>
    </row>
    <row r="58" spans="1:9" s="65" customFormat="1" ht="45" customHeight="1" x14ac:dyDescent="0.15">
      <c r="A58" s="62">
        <v>48</v>
      </c>
      <c r="B58" s="71" t="s">
        <v>207</v>
      </c>
      <c r="C58" s="68" t="s">
        <v>208</v>
      </c>
      <c r="D58" s="62" t="s">
        <v>23</v>
      </c>
      <c r="E58" s="63">
        <f>4.59*2*2+6.49*2*2</f>
        <v>44.32</v>
      </c>
      <c r="F58" s="63"/>
      <c r="G58" s="63"/>
      <c r="H58" s="68"/>
      <c r="I58" s="65" t="s">
        <v>209</v>
      </c>
    </row>
    <row r="59" spans="1:9" s="65" customFormat="1" ht="44.1" customHeight="1" x14ac:dyDescent="0.15">
      <c r="A59" s="62">
        <v>49</v>
      </c>
      <c r="B59" s="71" t="s">
        <v>210</v>
      </c>
      <c r="C59" s="68" t="s">
        <v>208</v>
      </c>
      <c r="D59" s="62" t="s">
        <v>23</v>
      </c>
      <c r="E59" s="63">
        <f>4.98*4</f>
        <v>19.920000000000002</v>
      </c>
      <c r="F59" s="63"/>
      <c r="G59" s="63"/>
      <c r="H59" s="62" t="s">
        <v>211</v>
      </c>
      <c r="I59" s="65" t="s">
        <v>212</v>
      </c>
    </row>
    <row r="60" spans="1:9" s="65" customFormat="1" ht="95.1" customHeight="1" x14ac:dyDescent="0.15">
      <c r="A60" s="62">
        <v>50</v>
      </c>
      <c r="B60" s="66" t="s">
        <v>86</v>
      </c>
      <c r="C60" s="68" t="s">
        <v>87</v>
      </c>
      <c r="D60" s="62" t="s">
        <v>23</v>
      </c>
      <c r="E60" s="63">
        <f>(66.4+19.05)*2.5</f>
        <v>213.625</v>
      </c>
      <c r="F60" s="63"/>
      <c r="G60" s="63"/>
      <c r="H60" s="68" t="s">
        <v>314</v>
      </c>
    </row>
    <row r="61" spans="1:9" ht="20.100000000000001" customHeight="1" x14ac:dyDescent="0.15">
      <c r="A61" s="7"/>
      <c r="B61" s="7" t="s">
        <v>89</v>
      </c>
      <c r="C61" s="69"/>
      <c r="D61" s="7"/>
      <c r="E61" s="8"/>
      <c r="F61" s="8"/>
      <c r="G61" s="8"/>
      <c r="H61" s="7"/>
    </row>
  </sheetData>
  <autoFilter ref="A2:I61"/>
  <mergeCells count="1">
    <mergeCell ref="A1:H1"/>
  </mergeCells>
  <phoneticPr fontId="8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H6" sqref="H6"/>
    </sheetView>
  </sheetViews>
  <sheetFormatPr defaultColWidth="8.875" defaultRowHeight="20.100000000000001" customHeight="1" x14ac:dyDescent="0.15"/>
  <cols>
    <col min="1" max="1" width="6" style="3" customWidth="1"/>
    <col min="2" max="2" width="18.875" style="3" customWidth="1"/>
    <col min="3" max="3" width="30" style="3" customWidth="1"/>
    <col min="4" max="4" width="8.875" style="3"/>
    <col min="5" max="5" width="9.625" style="4"/>
    <col min="6" max="7" width="8.875" style="4"/>
    <col min="8" max="8" width="17.75" style="3" customWidth="1"/>
    <col min="9" max="16384" width="8.875" style="3"/>
  </cols>
  <sheetData>
    <row r="1" spans="1:8" ht="33" customHeight="1" x14ac:dyDescent="0.15">
      <c r="A1" s="75" t="s">
        <v>213</v>
      </c>
      <c r="B1" s="75"/>
      <c r="C1" s="78"/>
      <c r="D1" s="75"/>
      <c r="E1" s="75"/>
      <c r="F1" s="75"/>
      <c r="G1" s="75"/>
      <c r="H1" s="75"/>
    </row>
    <row r="2" spans="1:8" ht="20.100000000000001" customHeight="1" x14ac:dyDescent="0.15">
      <c r="A2" s="5" t="s">
        <v>0</v>
      </c>
      <c r="B2" s="5" t="s">
        <v>1</v>
      </c>
      <c r="C2" s="5" t="s">
        <v>16</v>
      </c>
      <c r="D2" s="5" t="s">
        <v>2</v>
      </c>
      <c r="E2" s="6" t="s">
        <v>17</v>
      </c>
      <c r="F2" s="6" t="s">
        <v>18</v>
      </c>
      <c r="G2" s="6" t="s">
        <v>19</v>
      </c>
      <c r="H2" s="5" t="s">
        <v>4</v>
      </c>
    </row>
    <row r="3" spans="1:8" ht="20.100000000000001" customHeight="1" x14ac:dyDescent="0.15">
      <c r="A3" s="7"/>
      <c r="B3" s="7" t="s">
        <v>91</v>
      </c>
      <c r="C3" s="7"/>
      <c r="D3" s="7"/>
      <c r="E3" s="8"/>
      <c r="F3" s="8"/>
      <c r="G3" s="8"/>
      <c r="H3" s="7"/>
    </row>
    <row r="4" spans="1:8" ht="86.1" customHeight="1" x14ac:dyDescent="0.15">
      <c r="A4" s="5">
        <v>1</v>
      </c>
      <c r="B4" s="9" t="s">
        <v>214</v>
      </c>
      <c r="C4" s="10" t="s">
        <v>93</v>
      </c>
      <c r="D4" s="9" t="s">
        <v>94</v>
      </c>
      <c r="E4" s="11">
        <v>1</v>
      </c>
      <c r="F4" s="6"/>
      <c r="G4" s="6"/>
      <c r="H4" s="5"/>
    </row>
    <row r="5" spans="1:8" ht="86.1" customHeight="1" x14ac:dyDescent="0.15">
      <c r="A5" s="5">
        <v>2</v>
      </c>
      <c r="B5" s="9" t="s">
        <v>215</v>
      </c>
      <c r="C5" s="10" t="s">
        <v>93</v>
      </c>
      <c r="D5" s="9" t="s">
        <v>94</v>
      </c>
      <c r="E5" s="11">
        <v>1</v>
      </c>
      <c r="F5" s="6"/>
      <c r="G5" s="6"/>
      <c r="H5" s="5"/>
    </row>
    <row r="6" spans="1:8" ht="95.1" customHeight="1" x14ac:dyDescent="0.15">
      <c r="A6" s="5">
        <v>3</v>
      </c>
      <c r="B6" s="9" t="s">
        <v>216</v>
      </c>
      <c r="C6" s="10" t="s">
        <v>93</v>
      </c>
      <c r="D6" s="9" t="s">
        <v>94</v>
      </c>
      <c r="E6" s="11">
        <v>1</v>
      </c>
      <c r="F6" s="11"/>
      <c r="G6" s="11"/>
      <c r="H6" s="9"/>
    </row>
    <row r="7" spans="1:8" ht="86.1" customHeight="1" x14ac:dyDescent="0.15">
      <c r="A7" s="5">
        <v>4</v>
      </c>
      <c r="B7" s="9" t="s">
        <v>98</v>
      </c>
      <c r="C7" s="10" t="s">
        <v>93</v>
      </c>
      <c r="D7" s="9" t="s">
        <v>94</v>
      </c>
      <c r="E7" s="11">
        <v>1</v>
      </c>
      <c r="F7" s="6"/>
      <c r="G7" s="6"/>
      <c r="H7" s="5"/>
    </row>
    <row r="8" spans="1:8" ht="105.95" customHeight="1" x14ac:dyDescent="0.15">
      <c r="A8" s="5">
        <v>5</v>
      </c>
      <c r="B8" s="12" t="s">
        <v>99</v>
      </c>
      <c r="C8" s="13" t="s">
        <v>100</v>
      </c>
      <c r="D8" s="5" t="s">
        <v>40</v>
      </c>
      <c r="E8" s="6">
        <v>54.68</v>
      </c>
      <c r="F8" s="6"/>
      <c r="G8" s="6"/>
      <c r="H8" s="5"/>
    </row>
    <row r="9" spans="1:8" ht="105" customHeight="1" x14ac:dyDescent="0.15">
      <c r="A9" s="5">
        <v>6</v>
      </c>
      <c r="B9" s="13" t="s">
        <v>103</v>
      </c>
      <c r="C9" s="13" t="s">
        <v>104</v>
      </c>
      <c r="D9" s="13" t="s">
        <v>40</v>
      </c>
      <c r="E9" s="13">
        <v>13.25</v>
      </c>
      <c r="F9" s="6"/>
      <c r="G9" s="6"/>
      <c r="H9" s="5"/>
    </row>
    <row r="10" spans="1:8" ht="105" customHeight="1" x14ac:dyDescent="0.15">
      <c r="A10" s="5">
        <v>7</v>
      </c>
      <c r="B10" s="13" t="s">
        <v>217</v>
      </c>
      <c r="C10" s="13" t="s">
        <v>218</v>
      </c>
      <c r="D10" s="13" t="s">
        <v>40</v>
      </c>
      <c r="E10" s="13">
        <v>36.44</v>
      </c>
      <c r="F10" s="6"/>
      <c r="G10" s="6"/>
      <c r="H10" s="5"/>
    </row>
    <row r="11" spans="1:8" ht="105" customHeight="1" x14ac:dyDescent="0.15">
      <c r="A11" s="5">
        <v>8</v>
      </c>
      <c r="B11" s="13" t="s">
        <v>105</v>
      </c>
      <c r="C11" s="13" t="s">
        <v>106</v>
      </c>
      <c r="D11" s="13" t="s">
        <v>40</v>
      </c>
      <c r="E11" s="13">
        <v>16.5</v>
      </c>
      <c r="F11" s="6"/>
      <c r="G11" s="6"/>
      <c r="H11" s="5"/>
    </row>
    <row r="12" spans="1:8" ht="105" customHeight="1" x14ac:dyDescent="0.15">
      <c r="A12" s="5">
        <v>9</v>
      </c>
      <c r="B12" s="13" t="s">
        <v>107</v>
      </c>
      <c r="C12" s="13" t="s">
        <v>108</v>
      </c>
      <c r="D12" s="13" t="s">
        <v>40</v>
      </c>
      <c r="E12" s="13">
        <v>254.55</v>
      </c>
      <c r="F12" s="6"/>
      <c r="G12" s="6"/>
      <c r="H12" s="5"/>
    </row>
    <row r="13" spans="1:8" ht="74.099999999999994" customHeight="1" x14ac:dyDescent="0.15">
      <c r="A13" s="5">
        <v>10</v>
      </c>
      <c r="B13" s="12" t="s">
        <v>111</v>
      </c>
      <c r="C13" s="13" t="s">
        <v>112</v>
      </c>
      <c r="D13" s="5" t="s">
        <v>40</v>
      </c>
      <c r="E13" s="6">
        <f>282.95+1562.74+160.28+(9.29+14.27+13.7+7+11.2+17.16+14.16+17.27+14.16+11.2+20.52+17.27+4.79+1.5+14.25+2.38+2.38+1.5+20.97+6.44+1.72+5)</f>
        <v>2234.1</v>
      </c>
      <c r="F13" s="6"/>
      <c r="G13" s="6"/>
      <c r="H13" s="5"/>
    </row>
    <row r="14" spans="1:8" ht="75.95" customHeight="1" x14ac:dyDescent="0.15">
      <c r="A14" s="5">
        <v>11</v>
      </c>
      <c r="B14" s="12" t="s">
        <v>113</v>
      </c>
      <c r="C14" s="13" t="s">
        <v>112</v>
      </c>
      <c r="D14" s="5" t="s">
        <v>40</v>
      </c>
      <c r="E14" s="6">
        <f>244.57</f>
        <v>244.57</v>
      </c>
      <c r="F14" s="6"/>
      <c r="G14" s="6"/>
      <c r="H14" s="5"/>
    </row>
    <row r="15" spans="1:8" ht="81" customHeight="1" x14ac:dyDescent="0.15">
      <c r="A15" s="5">
        <v>12</v>
      </c>
      <c r="B15" s="5" t="s">
        <v>114</v>
      </c>
      <c r="C15" s="13" t="s">
        <v>115</v>
      </c>
      <c r="D15" s="5" t="s">
        <v>40</v>
      </c>
      <c r="E15" s="6">
        <v>155</v>
      </c>
      <c r="F15" s="6"/>
      <c r="G15" s="6"/>
      <c r="H15" s="5"/>
    </row>
    <row r="16" spans="1:8" ht="33.950000000000003" customHeight="1" x14ac:dyDescent="0.15">
      <c r="A16" s="5">
        <v>13</v>
      </c>
      <c r="B16" s="13" t="s">
        <v>116</v>
      </c>
      <c r="C16" s="13" t="s">
        <v>117</v>
      </c>
      <c r="D16" s="5" t="s">
        <v>40</v>
      </c>
      <c r="E16" s="6">
        <f>5659.79+1467+1494++(9.29+14.27+13.7+7+11.2+17.16+14.16+17.27+14.16+11.2+20.52+17.27+4.79+1.5+14.25+2.38+2.38+1.5+20.97+6.44+1.72+5+21.89+36.07+51.87*3)*3</f>
        <v>9945.8900000000012</v>
      </c>
      <c r="F16" s="6"/>
      <c r="G16" s="6"/>
      <c r="H16" s="5"/>
    </row>
    <row r="17" spans="1:8" ht="36" customHeight="1" x14ac:dyDescent="0.15">
      <c r="A17" s="5">
        <v>14</v>
      </c>
      <c r="B17" s="13" t="s">
        <v>118</v>
      </c>
      <c r="C17" s="13" t="s">
        <v>219</v>
      </c>
      <c r="D17" s="5" t="s">
        <v>40</v>
      </c>
      <c r="E17" s="6">
        <f>733.7+1211.431+114</f>
        <v>2059.1310000000003</v>
      </c>
      <c r="F17" s="6"/>
      <c r="G17" s="6"/>
      <c r="H17" s="5"/>
    </row>
    <row r="18" spans="1:8" ht="81" customHeight="1" x14ac:dyDescent="0.15">
      <c r="A18" s="5">
        <v>15</v>
      </c>
      <c r="B18" s="5" t="s">
        <v>124</v>
      </c>
      <c r="C18" s="10" t="s">
        <v>121</v>
      </c>
      <c r="D18" s="5" t="s">
        <v>122</v>
      </c>
      <c r="E18" s="6">
        <v>21</v>
      </c>
      <c r="F18" s="6"/>
      <c r="G18" s="6"/>
      <c r="H18" s="5"/>
    </row>
    <row r="19" spans="1:8" ht="81" customHeight="1" x14ac:dyDescent="0.15">
      <c r="A19" s="5">
        <v>16</v>
      </c>
      <c r="B19" s="5" t="s">
        <v>120</v>
      </c>
      <c r="C19" s="10" t="s">
        <v>121</v>
      </c>
      <c r="D19" s="5" t="s">
        <v>122</v>
      </c>
      <c r="E19" s="6">
        <v>3</v>
      </c>
      <c r="F19" s="6"/>
      <c r="G19" s="6"/>
      <c r="H19" s="5"/>
    </row>
    <row r="20" spans="1:8" ht="81" customHeight="1" x14ac:dyDescent="0.15">
      <c r="A20" s="5">
        <v>17</v>
      </c>
      <c r="B20" s="5" t="s">
        <v>123</v>
      </c>
      <c r="C20" s="10" t="s">
        <v>121</v>
      </c>
      <c r="D20" s="5" t="s">
        <v>122</v>
      </c>
      <c r="E20" s="6">
        <v>19</v>
      </c>
      <c r="F20" s="6"/>
      <c r="G20" s="6"/>
      <c r="H20" s="5"/>
    </row>
    <row r="21" spans="1:8" ht="81" customHeight="1" x14ac:dyDescent="0.15">
      <c r="A21" s="5">
        <v>18</v>
      </c>
      <c r="B21" s="5" t="s">
        <v>127</v>
      </c>
      <c r="C21" s="10" t="s">
        <v>220</v>
      </c>
      <c r="D21" s="5" t="s">
        <v>122</v>
      </c>
      <c r="E21" s="6">
        <v>22.7</v>
      </c>
      <c r="F21" s="6"/>
      <c r="G21" s="6"/>
      <c r="H21" s="5"/>
    </row>
    <row r="22" spans="1:8" ht="81" customHeight="1" x14ac:dyDescent="0.15">
      <c r="A22" s="5">
        <v>19</v>
      </c>
      <c r="B22" s="5" t="s">
        <v>133</v>
      </c>
      <c r="C22" s="10" t="s">
        <v>134</v>
      </c>
      <c r="D22" s="5" t="s">
        <v>122</v>
      </c>
      <c r="E22" s="6">
        <f>139+15</f>
        <v>154</v>
      </c>
      <c r="F22" s="6"/>
      <c r="G22" s="6"/>
      <c r="H22" s="5"/>
    </row>
    <row r="23" spans="1:8" ht="90" customHeight="1" x14ac:dyDescent="0.15">
      <c r="A23" s="5">
        <v>20</v>
      </c>
      <c r="B23" s="5" t="s">
        <v>125</v>
      </c>
      <c r="C23" s="13" t="s">
        <v>126</v>
      </c>
      <c r="D23" s="5" t="s">
        <v>122</v>
      </c>
      <c r="E23" s="6">
        <v>50</v>
      </c>
      <c r="F23" s="6"/>
      <c r="G23" s="6"/>
      <c r="H23" s="5"/>
    </row>
    <row r="24" spans="1:8" ht="81" customHeight="1" x14ac:dyDescent="0.15">
      <c r="A24" s="5">
        <v>21</v>
      </c>
      <c r="B24" s="5" t="s">
        <v>131</v>
      </c>
      <c r="C24" s="10" t="s">
        <v>132</v>
      </c>
      <c r="D24" s="5" t="s">
        <v>122</v>
      </c>
      <c r="E24" s="6">
        <f>69+2</f>
        <v>71</v>
      </c>
      <c r="F24" s="6"/>
      <c r="G24" s="6"/>
      <c r="H24" s="5"/>
    </row>
    <row r="25" spans="1:8" ht="81" customHeight="1" x14ac:dyDescent="0.15">
      <c r="A25" s="5">
        <v>22</v>
      </c>
      <c r="B25" s="5" t="s">
        <v>221</v>
      </c>
      <c r="C25" s="10" t="s">
        <v>222</v>
      </c>
      <c r="D25" s="5" t="s">
        <v>122</v>
      </c>
      <c r="E25" s="6">
        <v>4</v>
      </c>
      <c r="F25" s="6"/>
      <c r="G25" s="6"/>
      <c r="H25" s="5"/>
    </row>
    <row r="26" spans="1:8" ht="81" customHeight="1" x14ac:dyDescent="0.15">
      <c r="A26" s="5">
        <v>23</v>
      </c>
      <c r="B26" s="5" t="s">
        <v>127</v>
      </c>
      <c r="C26" s="10" t="s">
        <v>128</v>
      </c>
      <c r="D26" s="5" t="s">
        <v>122</v>
      </c>
      <c r="E26" s="6">
        <v>53</v>
      </c>
      <c r="F26" s="6"/>
      <c r="G26" s="6"/>
      <c r="H26" s="5"/>
    </row>
    <row r="27" spans="1:8" s="1" customFormat="1" ht="81" customHeight="1" x14ac:dyDescent="0.15">
      <c r="A27" s="5">
        <v>24</v>
      </c>
      <c r="B27" s="5" t="s">
        <v>129</v>
      </c>
      <c r="C27" s="10" t="s">
        <v>223</v>
      </c>
      <c r="D27" s="5" t="s">
        <v>122</v>
      </c>
      <c r="E27" s="6">
        <v>38</v>
      </c>
      <c r="F27" s="6"/>
      <c r="G27" s="6"/>
      <c r="H27" s="5"/>
    </row>
    <row r="28" spans="1:8" s="1" customFormat="1" ht="81" customHeight="1" x14ac:dyDescent="0.15">
      <c r="A28" s="5">
        <v>25</v>
      </c>
      <c r="B28" s="5" t="s">
        <v>224</v>
      </c>
      <c r="C28" s="10" t="s">
        <v>225</v>
      </c>
      <c r="D28" s="5" t="s">
        <v>122</v>
      </c>
      <c r="E28" s="6">
        <v>22</v>
      </c>
      <c r="F28" s="6"/>
      <c r="G28" s="6"/>
      <c r="H28" s="5"/>
    </row>
    <row r="29" spans="1:8" s="2" customFormat="1" ht="81" customHeight="1" x14ac:dyDescent="0.15">
      <c r="A29" s="5">
        <v>26</v>
      </c>
      <c r="B29" s="9" t="s">
        <v>135</v>
      </c>
      <c r="C29" s="10" t="s">
        <v>136</v>
      </c>
      <c r="D29" s="9" t="s">
        <v>40</v>
      </c>
      <c r="E29" s="11">
        <v>63.68</v>
      </c>
      <c r="F29" s="11"/>
      <c r="G29" s="11"/>
      <c r="H29" s="9"/>
    </row>
    <row r="30" spans="1:8" ht="81" customHeight="1" x14ac:dyDescent="0.15">
      <c r="A30" s="5">
        <v>27</v>
      </c>
      <c r="B30" s="5" t="s">
        <v>137</v>
      </c>
      <c r="C30" s="13" t="s">
        <v>138</v>
      </c>
      <c r="D30" s="5" t="s">
        <v>122</v>
      </c>
      <c r="E30" s="6">
        <v>26</v>
      </c>
      <c r="F30" s="6"/>
      <c r="G30" s="6"/>
      <c r="H30" s="5"/>
    </row>
    <row r="31" spans="1:8" ht="81" customHeight="1" x14ac:dyDescent="0.15">
      <c r="A31" s="5">
        <v>28</v>
      </c>
      <c r="B31" s="5" t="s">
        <v>139</v>
      </c>
      <c r="C31" s="13" t="s">
        <v>140</v>
      </c>
      <c r="D31" s="5" t="s">
        <v>122</v>
      </c>
      <c r="E31" s="6">
        <v>32</v>
      </c>
      <c r="F31" s="6"/>
      <c r="G31" s="6"/>
      <c r="H31" s="5"/>
    </row>
    <row r="32" spans="1:8" ht="81" customHeight="1" x14ac:dyDescent="0.15">
      <c r="A32" s="5">
        <v>29</v>
      </c>
      <c r="B32" s="5" t="s">
        <v>226</v>
      </c>
      <c r="C32" s="13" t="s">
        <v>227</v>
      </c>
      <c r="D32" s="5" t="s">
        <v>122</v>
      </c>
      <c r="E32" s="6">
        <v>18</v>
      </c>
      <c r="F32" s="6"/>
      <c r="G32" s="6"/>
      <c r="H32" s="5"/>
    </row>
    <row r="33" spans="1:8" ht="20.100000000000001" customHeight="1" x14ac:dyDescent="0.15">
      <c r="A33" s="7"/>
      <c r="B33" s="7" t="s">
        <v>141</v>
      </c>
      <c r="C33" s="7"/>
      <c r="D33" s="7"/>
      <c r="E33" s="8"/>
      <c r="F33" s="8"/>
      <c r="G33" s="8"/>
      <c r="H33" s="7"/>
    </row>
    <row r="34" spans="1:8" ht="120" customHeight="1" x14ac:dyDescent="0.15">
      <c r="A34" s="14">
        <v>30</v>
      </c>
      <c r="B34" s="15" t="s">
        <v>142</v>
      </c>
      <c r="C34" s="16" t="s">
        <v>143</v>
      </c>
      <c r="D34" s="14" t="s">
        <v>40</v>
      </c>
      <c r="E34" s="17">
        <f>1.29+0.09*2+1.16</f>
        <v>2.63</v>
      </c>
      <c r="F34" s="17"/>
      <c r="G34" s="17"/>
      <c r="H34" s="14"/>
    </row>
    <row r="35" spans="1:8" ht="120" customHeight="1" x14ac:dyDescent="0.15">
      <c r="A35" s="14">
        <v>31</v>
      </c>
      <c r="B35" s="18" t="s">
        <v>144</v>
      </c>
      <c r="C35" s="16" t="s">
        <v>145</v>
      </c>
      <c r="D35" s="14" t="s">
        <v>40</v>
      </c>
      <c r="E35" s="6">
        <f>3.6+0.09*2+3.21+3.03+0.12+0.42+0.12</f>
        <v>10.679999999999998</v>
      </c>
      <c r="F35" s="6"/>
      <c r="G35" s="6"/>
      <c r="H35" s="5"/>
    </row>
    <row r="36" spans="1:8" ht="120" customHeight="1" x14ac:dyDescent="0.15">
      <c r="A36" s="14">
        <v>32</v>
      </c>
      <c r="B36" s="18" t="s">
        <v>146</v>
      </c>
      <c r="C36" s="16" t="s">
        <v>147</v>
      </c>
      <c r="D36" s="14" t="s">
        <v>40</v>
      </c>
      <c r="E36" s="6">
        <f>3.63+4.4-0.3+0.09*2+0.45+1.3-0.3+1.3-0.3+0.12</f>
        <v>10.48</v>
      </c>
      <c r="F36" s="6"/>
      <c r="G36" s="6"/>
      <c r="H36" s="5"/>
    </row>
    <row r="37" spans="1:8" ht="120" customHeight="1" x14ac:dyDescent="0.15">
      <c r="A37" s="14">
        <v>33</v>
      </c>
      <c r="B37" s="18" t="s">
        <v>148</v>
      </c>
      <c r="C37" s="16" t="s">
        <v>149</v>
      </c>
      <c r="D37" s="14" t="s">
        <v>40</v>
      </c>
      <c r="E37" s="6">
        <f>3.55+3.62+4.4-0.3</f>
        <v>11.27</v>
      </c>
      <c r="F37" s="6"/>
      <c r="G37" s="6"/>
      <c r="H37" s="5"/>
    </row>
    <row r="38" spans="1:8" ht="120" customHeight="1" x14ac:dyDescent="0.15">
      <c r="A38" s="14">
        <v>34</v>
      </c>
      <c r="B38" s="18" t="s">
        <v>150</v>
      </c>
      <c r="C38" s="16" t="s">
        <v>151</v>
      </c>
      <c r="D38" s="14" t="s">
        <v>40</v>
      </c>
      <c r="E38" s="6">
        <f>6.34+6.12</f>
        <v>12.46</v>
      </c>
      <c r="F38" s="6"/>
      <c r="G38" s="6"/>
      <c r="H38" s="5"/>
    </row>
    <row r="39" spans="1:8" ht="120" customHeight="1" x14ac:dyDescent="0.15">
      <c r="A39" s="14">
        <v>35</v>
      </c>
      <c r="B39" s="18" t="s">
        <v>152</v>
      </c>
      <c r="C39" s="16" t="s">
        <v>153</v>
      </c>
      <c r="D39" s="14" t="s">
        <v>40</v>
      </c>
      <c r="E39" s="6">
        <f>49.01</f>
        <v>49.01</v>
      </c>
      <c r="F39" s="6"/>
      <c r="G39" s="6"/>
      <c r="H39" s="5"/>
    </row>
    <row r="40" spans="1:8" ht="120" customHeight="1" x14ac:dyDescent="0.15">
      <c r="A40" s="14">
        <v>36</v>
      </c>
      <c r="B40" s="18" t="s">
        <v>154</v>
      </c>
      <c r="C40" s="16" t="s">
        <v>155</v>
      </c>
      <c r="D40" s="14" t="s">
        <v>40</v>
      </c>
      <c r="E40" s="6">
        <f>4.4+24.94</f>
        <v>29.340000000000003</v>
      </c>
      <c r="F40" s="6"/>
      <c r="G40" s="6"/>
      <c r="H40" s="5"/>
    </row>
    <row r="41" spans="1:8" ht="129" customHeight="1" x14ac:dyDescent="0.15">
      <c r="A41" s="14">
        <v>37</v>
      </c>
      <c r="B41" s="18" t="s">
        <v>156</v>
      </c>
      <c r="C41" s="16" t="s">
        <v>157</v>
      </c>
      <c r="D41" s="14" t="s">
        <v>40</v>
      </c>
      <c r="E41" s="6">
        <f>3.56+0.5*3</f>
        <v>5.0600000000000005</v>
      </c>
      <c r="F41" s="6"/>
      <c r="G41" s="6"/>
      <c r="H41" s="5"/>
    </row>
    <row r="42" spans="1:8" ht="132" customHeight="1" x14ac:dyDescent="0.15">
      <c r="A42" s="14">
        <v>38</v>
      </c>
      <c r="B42" s="18" t="s">
        <v>228</v>
      </c>
      <c r="C42" s="16" t="s">
        <v>229</v>
      </c>
      <c r="D42" s="14" t="s">
        <v>40</v>
      </c>
      <c r="E42" s="6">
        <f>3.5+0.84+0.79+0.5*2+0.1</f>
        <v>6.2299999999999995</v>
      </c>
      <c r="F42" s="6"/>
      <c r="G42" s="6"/>
      <c r="H42" s="5"/>
    </row>
    <row r="43" spans="1:8" ht="132" customHeight="1" x14ac:dyDescent="0.15">
      <c r="A43" s="14">
        <v>39</v>
      </c>
      <c r="B43" s="18" t="s">
        <v>158</v>
      </c>
      <c r="C43" s="16" t="s">
        <v>159</v>
      </c>
      <c r="D43" s="14" t="s">
        <v>40</v>
      </c>
      <c r="E43" s="6">
        <f>1.72+6.16+0.3*4+0.5*2+0.16</f>
        <v>10.24</v>
      </c>
      <c r="F43" s="6"/>
      <c r="G43" s="6"/>
      <c r="H43" s="5"/>
    </row>
    <row r="44" spans="1:8" ht="132" customHeight="1" x14ac:dyDescent="0.15">
      <c r="A44" s="14">
        <v>40</v>
      </c>
      <c r="B44" s="19" t="s">
        <v>230</v>
      </c>
      <c r="C44" s="20" t="s">
        <v>231</v>
      </c>
      <c r="D44" s="14" t="s">
        <v>40</v>
      </c>
      <c r="E44" s="17">
        <f>3.28</f>
        <v>3.28</v>
      </c>
      <c r="F44" s="17"/>
      <c r="G44" s="17"/>
      <c r="H44" s="14"/>
    </row>
    <row r="45" spans="1:8" ht="132" customHeight="1" x14ac:dyDescent="0.15">
      <c r="A45" s="14">
        <v>41</v>
      </c>
      <c r="B45" s="18" t="s">
        <v>232</v>
      </c>
      <c r="C45" s="21" t="s">
        <v>233</v>
      </c>
      <c r="D45" s="5" t="s">
        <v>40</v>
      </c>
      <c r="E45" s="6">
        <f>0.94+0.9+1.99+1.99</f>
        <v>5.82</v>
      </c>
      <c r="F45" s="6"/>
      <c r="G45" s="6"/>
      <c r="H45" s="5"/>
    </row>
    <row r="46" spans="1:8" ht="54.95" customHeight="1" x14ac:dyDescent="0.15">
      <c r="A46" s="14">
        <v>42</v>
      </c>
      <c r="B46" s="22" t="s">
        <v>234</v>
      </c>
      <c r="C46" s="21" t="s">
        <v>235</v>
      </c>
      <c r="D46" s="5" t="s">
        <v>122</v>
      </c>
      <c r="E46" s="6">
        <v>1</v>
      </c>
      <c r="F46" s="18"/>
      <c r="G46" s="18"/>
      <c r="H46" s="18"/>
    </row>
    <row r="47" spans="1:8" ht="20.100000000000001" customHeight="1" x14ac:dyDescent="0.15">
      <c r="A47" s="7"/>
      <c r="B47" s="7" t="s">
        <v>89</v>
      </c>
      <c r="C47" s="7"/>
      <c r="D47" s="7"/>
      <c r="E47" s="8"/>
      <c r="F47" s="8"/>
      <c r="G47" s="8"/>
      <c r="H47" s="7"/>
    </row>
  </sheetData>
  <mergeCells count="1">
    <mergeCell ref="A1:H1"/>
  </mergeCells>
  <phoneticPr fontId="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20" sqref="B20"/>
    </sheetView>
  </sheetViews>
  <sheetFormatPr defaultColWidth="9" defaultRowHeight="13.5" x14ac:dyDescent="0.15"/>
  <cols>
    <col min="1" max="1" width="9" style="53"/>
    <col min="2" max="2" width="114.5" style="48" customWidth="1"/>
    <col min="3" max="16384" width="9" style="48"/>
  </cols>
  <sheetData>
    <row r="1" spans="1:2" ht="37.5" customHeight="1" x14ac:dyDescent="0.15">
      <c r="A1" s="57" t="s">
        <v>245</v>
      </c>
      <c r="B1" s="51" t="s">
        <v>252</v>
      </c>
    </row>
    <row r="2" spans="1:2" ht="28.5" customHeight="1" x14ac:dyDescent="0.15">
      <c r="A2" s="52">
        <v>1</v>
      </c>
      <c r="B2" s="49" t="s">
        <v>246</v>
      </c>
    </row>
    <row r="3" spans="1:2" ht="28.5" customHeight="1" x14ac:dyDescent="0.15">
      <c r="A3" s="52">
        <v>2</v>
      </c>
      <c r="B3" s="50" t="s">
        <v>247</v>
      </c>
    </row>
    <row r="4" spans="1:2" ht="28.5" customHeight="1" x14ac:dyDescent="0.15">
      <c r="A4" s="52">
        <v>3</v>
      </c>
      <c r="B4" s="54" t="s">
        <v>258</v>
      </c>
    </row>
    <row r="5" spans="1:2" ht="28.5" customHeight="1" x14ac:dyDescent="0.15">
      <c r="A5" s="52">
        <v>4</v>
      </c>
      <c r="B5" s="49" t="s">
        <v>251</v>
      </c>
    </row>
    <row r="6" spans="1:2" ht="28.5" customHeight="1" x14ac:dyDescent="0.15">
      <c r="A6" s="52">
        <v>5</v>
      </c>
      <c r="B6" s="49" t="s">
        <v>249</v>
      </c>
    </row>
    <row r="7" spans="1:2" ht="28.5" customHeight="1" x14ac:dyDescent="0.15">
      <c r="A7" s="52">
        <v>6</v>
      </c>
      <c r="B7" s="49" t="s">
        <v>248</v>
      </c>
    </row>
    <row r="8" spans="1:2" ht="28.5" customHeight="1" x14ac:dyDescent="0.15">
      <c r="A8" s="52">
        <v>7</v>
      </c>
      <c r="B8" s="49" t="s">
        <v>250</v>
      </c>
    </row>
    <row r="9" spans="1:2" ht="28.5" customHeight="1" x14ac:dyDescent="0.15">
      <c r="A9" s="52">
        <v>8</v>
      </c>
      <c r="B9" s="54" t="s">
        <v>257</v>
      </c>
    </row>
    <row r="10" spans="1:2" ht="28.5" customHeight="1" x14ac:dyDescent="0.15">
      <c r="A10" s="52">
        <v>9</v>
      </c>
      <c r="B10" s="54" t="s">
        <v>244</v>
      </c>
    </row>
    <row r="11" spans="1:2" ht="39" customHeight="1" x14ac:dyDescent="0.15">
      <c r="A11" s="52">
        <v>10</v>
      </c>
      <c r="B11" s="79" t="s">
        <v>319</v>
      </c>
    </row>
    <row r="12" spans="1:2" ht="28.5" customHeight="1" x14ac:dyDescent="0.15">
      <c r="A12" s="52">
        <v>11</v>
      </c>
      <c r="B12" s="79" t="s">
        <v>318</v>
      </c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19" sqref="A19"/>
    </sheetView>
  </sheetViews>
  <sheetFormatPr defaultRowHeight="13.5" x14ac:dyDescent="0.15"/>
  <cols>
    <col min="1" max="1" width="133.625" customWidth="1"/>
  </cols>
  <sheetData>
    <row r="1" spans="1:1" ht="38.25" customHeight="1" x14ac:dyDescent="0.15">
      <c r="A1" s="55" t="s">
        <v>255</v>
      </c>
    </row>
    <row r="2" spans="1:1" ht="31.5" customHeight="1" x14ac:dyDescent="0.15">
      <c r="A2" s="56" t="s">
        <v>253</v>
      </c>
    </row>
    <row r="3" spans="1:1" ht="31.5" customHeight="1" x14ac:dyDescent="0.15">
      <c r="A3" s="56" t="s">
        <v>254</v>
      </c>
    </row>
    <row r="4" spans="1:1" ht="31.5" customHeight="1" x14ac:dyDescent="0.15">
      <c r="A4" s="56" t="s">
        <v>260</v>
      </c>
    </row>
    <row r="5" spans="1:1" ht="31.5" customHeight="1" x14ac:dyDescent="0.15">
      <c r="A5" s="56" t="s">
        <v>256</v>
      </c>
    </row>
    <row r="6" spans="1:1" ht="31.5" customHeight="1" x14ac:dyDescent="0.15">
      <c r="A6" s="56" t="s">
        <v>262</v>
      </c>
    </row>
    <row r="7" spans="1:1" ht="31.5" customHeight="1" x14ac:dyDescent="0.15">
      <c r="A7" s="56" t="s">
        <v>261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1-科达学院餐厅装修</vt:lpstr>
      <vt:lpstr>2-科达学院餐厅机电</vt:lpstr>
      <vt:lpstr>3-公寓楼餐厅装修</vt:lpstr>
      <vt:lpstr>4-公寓楼餐厅机电</vt:lpstr>
      <vt:lpstr>图纸清单补充说明</vt:lpstr>
      <vt:lpstr>工程范围划分说明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liff</dc:creator>
  <dc:description>LIFF</dc:description>
  <cp:lastModifiedBy>KD</cp:lastModifiedBy>
  <cp:lastPrinted>2022-07-15T06:19:00Z</cp:lastPrinted>
  <dcterms:created xsi:type="dcterms:W3CDTF">2022-06-06T07:28:00Z</dcterms:created>
  <dcterms:modified xsi:type="dcterms:W3CDTF">2022-07-22T07:56:36Z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8D43CE57DFF64B1CB87C93C912633CDC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